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Default Extension="xlsx" ContentType="application/vnd.openxmlformats-officedocument.spreadsheetml.sheet"/>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externalLinks/externalLink9.xml" ContentType="application/vnd.openxmlformats-officedocument.spreadsheetml.externalLink+xml"/>
  <Override PartName="/xl/externalLinks/externalLink10.xml" ContentType="application/vnd.openxmlformats-officedocument.spreadsheetml.externalLink+xml"/>
  <Override PartName="/xl/externalLinks/externalLink11.xml" ContentType="application/vnd.openxmlformats-officedocument.spreadsheetml.externalLink+xml"/>
  <Override PartName="/xl/externalLinks/externalLink12.xml" ContentType="application/vnd.openxmlformats-officedocument.spreadsheetml.externalLink+xml"/>
  <Override PartName="/xl/externalLinks/externalLink13.xml" ContentType="application/vnd.openxmlformats-officedocument.spreadsheetml.externalLink+xml"/>
  <Override PartName="/xl/externalLinks/externalLink14.xml" ContentType="application/vnd.openxmlformats-officedocument.spreadsheetml.externalLink+xml"/>
  <Override PartName="/xl/externalLinks/externalLink15.xml" ContentType="application/vnd.openxmlformats-officedocument.spreadsheetml.externalLink+xml"/>
  <Override PartName="/xl/externalLinks/externalLink16.xml" ContentType="application/vnd.openxmlformats-officedocument.spreadsheetml.externalLink+xml"/>
  <Override PartName="/xl/externalLinks/externalLink17.xml" ContentType="application/vnd.openxmlformats-officedocument.spreadsheetml.externalLink+xml"/>
  <Override PartName="/xl/externalLinks/externalLink18.xml" ContentType="application/vnd.openxmlformats-officedocument.spreadsheetml.externalLink+xml"/>
  <Override PartName="/xl/externalLinks/externalLink19.xml" ContentType="application/vnd.openxmlformats-officedocument.spreadsheetml.externalLink+xml"/>
  <Override PartName="/xl/externalLinks/externalLink20.xml" ContentType="application/vnd.openxmlformats-officedocument.spreadsheetml.externalLink+xml"/>
  <Override PartName="/xl/externalLinks/externalLink21.xml" ContentType="application/vnd.openxmlformats-officedocument.spreadsheetml.externalLink+xml"/>
  <Override PartName="/xl/externalLinks/externalLink22.xml" ContentType="application/vnd.openxmlformats-officedocument.spreadsheetml.externalLink+xml"/>
  <Override PartName="/xl/externalLinks/externalLink23.xml" ContentType="application/vnd.openxmlformats-officedocument.spreadsheetml.externalLink+xml"/>
  <Override PartName="/xl/externalLinks/externalLink24.xml" ContentType="application/vnd.openxmlformats-officedocument.spreadsheetml.externalLink+xml"/>
  <Override PartName="/xl/externalLinks/externalLink25.xml" ContentType="application/vnd.openxmlformats-officedocument.spreadsheetml.externalLink+xml"/>
  <Override PartName="/xl/externalLinks/externalLink26.xml" ContentType="application/vnd.openxmlformats-officedocument.spreadsheetml.externalLink+xml"/>
  <Override PartName="/xl/externalLinks/externalLink27.xml" ContentType="application/vnd.openxmlformats-officedocument.spreadsheetml.externalLink+xml"/>
  <Override PartName="/xl/externalLinks/externalLink28.xml" ContentType="application/vnd.openxmlformats-officedocument.spreadsheetml.externalLink+xml"/>
  <Override PartName="/xl/externalLinks/externalLink29.xml" ContentType="application/vnd.openxmlformats-officedocument.spreadsheetml.externalLink+xml"/>
  <Override PartName="/xl/externalLinks/externalLink30.xml" ContentType="application/vnd.openxmlformats-officedocument.spreadsheetml.externalLink+xml"/>
  <Override PartName="/xl/externalLinks/externalLink31.xml" ContentType="application/vnd.openxmlformats-officedocument.spreadsheetml.externalLink+xml"/>
  <Override PartName="/xl/externalLinks/externalLink32.xml" ContentType="application/vnd.openxmlformats-officedocument.spreadsheetml.externalLink+xml"/>
  <Override PartName="/xl/externalLinks/externalLink33.xml" ContentType="application/vnd.openxmlformats-officedocument.spreadsheetml.externalLink+xml"/>
  <Override PartName="/xl/externalLinks/externalLink34.xml" ContentType="application/vnd.openxmlformats-officedocument.spreadsheetml.externalLink+xml"/>
  <Override PartName="/xl/externalLinks/externalLink35.xml" ContentType="application/vnd.openxmlformats-officedocument.spreadsheetml.externalLink+xml"/>
  <Override PartName="/xl/externalLinks/externalLink3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omments1.xml" ContentType="application/vnd.openxmlformats-officedocument.spreadsheetml.comments+xml"/>
  <Override PartName="/xl/drawings/drawing4.xml" ContentType="application/vnd.openxmlformats-officedocument.drawing+xml"/>
  <Override PartName="/xl/comments2.xml" ContentType="application/vnd.openxmlformats-officedocument.spreadsheetml.comments+xml"/>
  <Override PartName="/xl/drawings/drawing5.xml" ContentType="application/vnd.openxmlformats-officedocument.drawing+xml"/>
  <Override PartName="/xl/comments3.xml" ContentType="application/vnd.openxmlformats-officedocument.spreadsheetml.comments+xml"/>
  <Override PartName="/xl/comments4.xml" ContentType="application/vnd.openxmlformats-officedocument.spreadsheetml.comments+xml"/>
  <Override PartName="/xl/comments5.xml" ContentType="application/vnd.openxmlformats-officedocument.spreadsheetml.comments+xml"/>
  <Override PartName="/xl/drawings/drawing6.xml" ContentType="application/vnd.openxmlformats-officedocument.drawing+xml"/>
  <Override PartName="/xl/comments6.xml" ContentType="application/vnd.openxmlformats-officedocument.spreadsheetml.comments+xml"/>
  <Override PartName="/xl/drawings/drawing7.xml" ContentType="application/vnd.openxmlformats-officedocument.drawing+xml"/>
  <Override PartName="/xl/comments7.xml" ContentType="application/vnd.openxmlformats-officedocument.spreadsheetml.comments+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workbookProtection workbookAlgorithmName="SHA-512" workbookHashValue="mSTf5qHi+BE52Jy1CarSn/3ub8MSkL6r3jO65B8Rfw8wi5u14lBD1Mz1cMQXnwC3/6P24/DYU1+AKhMHw6lOrg==" workbookSaltValue="usjj4/1hUUowWBVvZ2uQpw==" workbookSpinCount="100000" lockStructure="1"/>
  <bookViews>
    <workbookView xWindow="45" yWindow="210" windowWidth="18765" windowHeight="7665" tabRatio="872" activeTab="8"/>
  </bookViews>
  <sheets>
    <sheet name="参数说明" sheetId="14" r:id="rId1"/>
    <sheet name="版本控制" sheetId="20" r:id="rId2"/>
    <sheet name="Summary" sheetId="13" r:id="rId3"/>
    <sheet name="机械件数据库" sheetId="9" r:id="rId4"/>
    <sheet name="设计主界面" sheetId="3" r:id="rId5"/>
    <sheet name="材料数据库" sheetId="17" r:id="rId6"/>
    <sheet name="模切尺寸" sheetId="7" r:id="rId7"/>
    <sheet name="Overhang" sheetId="1" r:id="rId8"/>
    <sheet name="BOM" sheetId="2" r:id="rId9"/>
    <sheet name="残空间计算" sheetId="15" r:id="rId10"/>
    <sheet name="极耳错位" sheetId="10" r:id="rId11"/>
    <sheet name="过程能力信息" sheetId="18" r:id="rId12"/>
    <sheet name="Cell Weight" sheetId="11" r:id="rId13"/>
  </sheets>
  <externalReferences>
    <externalReference r:id="rId14"/>
    <externalReference r:id="rId15"/>
    <externalReference r:id="rId16"/>
    <externalReference r:id="rId17"/>
    <externalReference r:id="rId18"/>
    <externalReference r:id="rId19"/>
    <externalReference r:id="rId20"/>
    <externalReference r:id="rId21"/>
    <externalReference r:id="rId22"/>
    <externalReference r:id="rId23"/>
    <externalReference r:id="rId24"/>
    <externalReference r:id="rId25"/>
    <externalReference r:id="rId26"/>
    <externalReference r:id="rId27"/>
    <externalReference r:id="rId28"/>
    <externalReference r:id="rId29"/>
    <externalReference r:id="rId30"/>
    <externalReference r:id="rId31"/>
    <externalReference r:id="rId32"/>
    <externalReference r:id="rId33"/>
    <externalReference r:id="rId34"/>
    <externalReference r:id="rId35"/>
    <externalReference r:id="rId36"/>
    <externalReference r:id="rId37"/>
    <externalReference r:id="rId38"/>
    <externalReference r:id="rId39"/>
    <externalReference r:id="rId40"/>
    <externalReference r:id="rId41"/>
    <externalReference r:id="rId42"/>
    <externalReference r:id="rId43"/>
    <externalReference r:id="rId44"/>
    <externalReference r:id="rId45"/>
    <externalReference r:id="rId46"/>
    <externalReference r:id="rId47"/>
    <externalReference r:id="rId48"/>
    <externalReference r:id="rId49"/>
  </externalReferences>
  <definedNames>
    <definedName name="\a" localSheetId="12">#REF!</definedName>
    <definedName name="\a" localSheetId="5">#REF!</definedName>
    <definedName name="\a" localSheetId="9">#REF!</definedName>
    <definedName name="\a">#REF!</definedName>
    <definedName name="\b" localSheetId="12">#REF!</definedName>
    <definedName name="\b" localSheetId="9">#REF!</definedName>
    <definedName name="\b">#REF!</definedName>
    <definedName name="\c" localSheetId="12">#REF!</definedName>
    <definedName name="\c" localSheetId="9">#REF!</definedName>
    <definedName name="\c">#REF!</definedName>
    <definedName name="\d" localSheetId="12">#REF!</definedName>
    <definedName name="\d" localSheetId="9">#REF!</definedName>
    <definedName name="\d">#REF!</definedName>
    <definedName name="\e" localSheetId="12">#REF!</definedName>
    <definedName name="\e" localSheetId="9">#REF!</definedName>
    <definedName name="\e">#REF!</definedName>
    <definedName name="\f" localSheetId="12">#REF!</definedName>
    <definedName name="\f" localSheetId="9">#REF!</definedName>
    <definedName name="\f">#REF!</definedName>
    <definedName name="\i" localSheetId="12">#REF!</definedName>
    <definedName name="\i" localSheetId="9">#REF!</definedName>
    <definedName name="\i">#REF!</definedName>
    <definedName name="\n" localSheetId="12">#REF!</definedName>
    <definedName name="\n" localSheetId="9">#REF!</definedName>
    <definedName name="\n">#REF!</definedName>
    <definedName name="\p" localSheetId="12">#REF!</definedName>
    <definedName name="\p" localSheetId="9">#REF!</definedName>
    <definedName name="\p">#REF!</definedName>
    <definedName name="\P2" localSheetId="12">#REF!</definedName>
    <definedName name="\P2" localSheetId="9">#REF!</definedName>
    <definedName name="\P2">#REF!</definedName>
    <definedName name="\q" localSheetId="12">#REF!</definedName>
    <definedName name="\q" localSheetId="9">#REF!</definedName>
    <definedName name="\q">#REF!</definedName>
    <definedName name="\r" localSheetId="12">#REF!</definedName>
    <definedName name="\r" localSheetId="9">#REF!</definedName>
    <definedName name="\r">#REF!</definedName>
    <definedName name="\s" localSheetId="12">#REF!</definedName>
    <definedName name="\s" localSheetId="9">#REF!</definedName>
    <definedName name="\s">#REF!</definedName>
    <definedName name="\t" localSheetId="12">#REF!</definedName>
    <definedName name="\t" localSheetId="9">#REF!</definedName>
    <definedName name="\t">#REF!</definedName>
    <definedName name="\z" localSheetId="12">#REF!</definedName>
    <definedName name="\z" localSheetId="9">#REF!</definedName>
    <definedName name="\z">#REF!</definedName>
    <definedName name="___ES1" localSheetId="2" hidden="1">{#N/A,#N/A,FALSE,"Bare Battery F.G."}</definedName>
    <definedName name="___ES1" localSheetId="9" hidden="1">{#N/A,#N/A,FALSE,"Bare Battery F.G."}</definedName>
    <definedName name="___ES1" localSheetId="10" hidden="1">{#N/A,#N/A,FALSE,"Bare Battery F.G."}</definedName>
    <definedName name="___ES1" hidden="1">{#N/A,#N/A,FALSE,"Bare Battery F.G."}</definedName>
    <definedName name="___SK1">#N/A</definedName>
    <definedName name="___wrn1" localSheetId="2" hidden="1">{#N/A,#N/A,FALSE,"Bare Battery F.G."}</definedName>
    <definedName name="___wrn1" localSheetId="9" hidden="1">{#N/A,#N/A,FALSE,"Bare Battery F.G."}</definedName>
    <definedName name="___wrn1" localSheetId="10" hidden="1">{#N/A,#N/A,FALSE,"Bare Battery F.G."}</definedName>
    <definedName name="___wrn1" hidden="1">{#N/A,#N/A,FALSE,"Bare Battery F.G."}</definedName>
    <definedName name="___wrn2" localSheetId="2" hidden="1">{#N/A,#N/A,FALSE,"Bare Battery F.G."}</definedName>
    <definedName name="___wrn2" localSheetId="9" hidden="1">{#N/A,#N/A,FALSE,"Bare Battery F.G."}</definedName>
    <definedName name="___wrn2" localSheetId="10" hidden="1">{#N/A,#N/A,FALSE,"Bare Battery F.G."}</definedName>
    <definedName name="___wrn2" hidden="1">{#N/A,#N/A,FALSE,"Bare Battery F.G."}</definedName>
    <definedName name="__aof2" localSheetId="12">#REF!</definedName>
    <definedName name="__aof2" localSheetId="9">#REF!</definedName>
    <definedName name="__aof2">#REF!</definedName>
    <definedName name="__DemandLoad">TRUE</definedName>
    <definedName name="__ES1" localSheetId="4" hidden="1">{#N/A,#N/A,FALSE,"Bare Battery F.G."}</definedName>
    <definedName name="__ES1" hidden="1">{#N/A,#N/A,FALSE,"Bare Battery F.G."}</definedName>
    <definedName name="__Lot1" localSheetId="5">[1]Database!$A$3</definedName>
    <definedName name="__Lot1">[1]Database!$A$3</definedName>
    <definedName name="__sdd1" hidden="1">{#N/A,#N/A,FALSE,"Bare Battery F.G."}</definedName>
    <definedName name="__SDD3" hidden="1">{#N/A,#N/A,FALSE,"Bare Battery F.G."}</definedName>
    <definedName name="__SK1">#N/A</definedName>
    <definedName name="__t1" hidden="1">{#N/A,#N/A,FALSE,"Bare Battery F.G."}</definedName>
    <definedName name="__t113" hidden="1">{#N/A,#N/A,FALSE,"Bare Battery F.G."}</definedName>
    <definedName name="__wr1" hidden="1">{#N/A,#N/A,FALSE,"Bare Battery F.G."}</definedName>
    <definedName name="__wrn1" localSheetId="4" hidden="1">{#N/A,#N/A,FALSE,"Bare Battery F.G."}</definedName>
    <definedName name="__wrn1" hidden="1">{#N/A,#N/A,FALSE,"Bare Battery F.G."}</definedName>
    <definedName name="__wrn2" localSheetId="4" hidden="1">{#N/A,#N/A,FALSE,"Bare Battery F.G."}</definedName>
    <definedName name="__wrn2" hidden="1">{#N/A,#N/A,FALSE,"Bare Battery F.G."}</definedName>
    <definedName name="_1B5_" localSheetId="12" hidden="1">{#N/A,#N/A,FALSE,"Bare Battery F.G."}</definedName>
    <definedName name="_2B5_" hidden="1">{#N/A,#N/A,FALSE,"Bare Battery F.G."}</definedName>
    <definedName name="_2ES1_" hidden="1">{#N/A,#N/A,FALSE,"Bare Battery F.G."}</definedName>
    <definedName name="_3ES1_" localSheetId="12" hidden="1">{#N/A,#N/A,FALSE,"Bare Battery F.G."}</definedName>
    <definedName name="_3L1_">[1]Database!$A$3</definedName>
    <definedName name="_4ES1_" hidden="1">{#N/A,#N/A,FALSE,"Bare Battery F.G."}</definedName>
    <definedName name="_5L1_">[1]Database!$A$3</definedName>
    <definedName name="_6t113_" localSheetId="12" hidden="1">{#N/A,#N/A,FALSE,"Bare Battery F.G."}</definedName>
    <definedName name="_7t113_" hidden="1">{#N/A,#N/A,FALSE,"Bare Battery F.G."}</definedName>
    <definedName name="_802" localSheetId="12">#REF!</definedName>
    <definedName name="_802" localSheetId="9">#REF!</definedName>
    <definedName name="_802">#REF!</definedName>
    <definedName name="_802と9803との差分" localSheetId="12">#REF!</definedName>
    <definedName name="_802と9803との差分" localSheetId="9">#REF!</definedName>
    <definedName name="_802と9803との差分">#REF!</definedName>
    <definedName name="_807" localSheetId="12">#REF!</definedName>
    <definedName name="_807" localSheetId="9">#REF!</definedName>
    <definedName name="_807">#REF!</definedName>
    <definedName name="_ctq1" localSheetId="12">#REF!</definedName>
    <definedName name="_ctq1" localSheetId="9">#REF!</definedName>
    <definedName name="_ctq1">#REF!</definedName>
    <definedName name="_ES1" localSheetId="8" hidden="1">{#N/A,#N/A,FALSE,"Bare Battery F.G."}</definedName>
    <definedName name="_ES1" hidden="1">{#N/A,#N/A,FALSE,"Bare Battery F.G."}</definedName>
    <definedName name="_FAP383562" localSheetId="12">#REF!</definedName>
    <definedName name="_FAP383562" localSheetId="2">#REF!</definedName>
    <definedName name="_FAP383562" localSheetId="9">#REF!</definedName>
    <definedName name="_FAP383562">#REF!</definedName>
    <definedName name="_FCP383562" localSheetId="12">#REF!</definedName>
    <definedName name="_FCP383562" localSheetId="2">#REF!</definedName>
    <definedName name="_FCP383562" localSheetId="9">#REF!</definedName>
    <definedName name="_FCP383562">#REF!</definedName>
    <definedName name="_Fill" localSheetId="12" hidden="1">#REF!</definedName>
    <definedName name="_Fill" localSheetId="9" hidden="1">#REF!</definedName>
    <definedName name="_Fill" hidden="1">#REF!</definedName>
    <definedName name="_xlnm._FilterDatabase" localSheetId="8" hidden="1">#REF!</definedName>
    <definedName name="_xlnm._FilterDatabase" localSheetId="12" hidden="1">#REF!</definedName>
    <definedName name="_xlnm._FilterDatabase" localSheetId="2" hidden="1">#REF!</definedName>
    <definedName name="_xlnm._FilterDatabase" localSheetId="9" hidden="1">#REF!</definedName>
    <definedName name="_xlnm._FilterDatabase" hidden="1">#REF!</definedName>
    <definedName name="_Key1" localSheetId="12" hidden="1">#REF!</definedName>
    <definedName name="_Key1" localSheetId="9" hidden="1">#REF!</definedName>
    <definedName name="_Key1" hidden="1">#REF!</definedName>
    <definedName name="_L1">[1]Database!$A$3</definedName>
    <definedName name="_Lot1" localSheetId="8">[1]Database!$A$3</definedName>
    <definedName name="_Lot1" localSheetId="5">[1]Database!$A$3</definedName>
    <definedName name="_Lot1">[1]Database!$A$3</definedName>
    <definedName name="_Order1" hidden="1">255</definedName>
    <definedName name="_PL72" localSheetId="12">#REF!</definedName>
    <definedName name="_PL72" localSheetId="9">#REF!</definedName>
    <definedName name="_PL72">#REF!</definedName>
    <definedName name="_PMP1" localSheetId="12">#REF!</definedName>
    <definedName name="_PMP1" localSheetId="9">#REF!</definedName>
    <definedName name="_PMP1">#REF!</definedName>
    <definedName name="_PMP2" localSheetId="12">#REF!</definedName>
    <definedName name="_PMP2" localSheetId="9">#REF!</definedName>
    <definedName name="_PMP2">#REF!</definedName>
    <definedName name="_SK1" localSheetId="8">#N/A</definedName>
    <definedName name="_SK1">#N/A</definedName>
    <definedName name="_Sort" localSheetId="12" hidden="1">#REF!</definedName>
    <definedName name="_Sort" localSheetId="9" hidden="1">#REF!</definedName>
    <definedName name="_Sort" hidden="1">#REF!</definedName>
    <definedName name="_WK34" localSheetId="12" hidden="1">{#N/A,#N/A,FALSE,"Bare Battery F.G."}</definedName>
    <definedName name="_WK34" hidden="1">{#N/A,#N/A,FALSE,"Bare Battery F.G."}</definedName>
    <definedName name="_wrn1" localSheetId="8" hidden="1">{#N/A,#N/A,FALSE,"Bare Battery F.G."}</definedName>
    <definedName name="_wrn1" localSheetId="12" hidden="1">{#N/A,#N/A,FALSE,"Bare Battery F.G."}</definedName>
    <definedName name="_wrn1" localSheetId="5" hidden="1">{#N/A,#N/A,FALSE,"Bare Battery F.G."}</definedName>
    <definedName name="_wrn1" hidden="1">{#N/A,#N/A,FALSE,"Bare Battery F.G."}</definedName>
    <definedName name="_wrn2" localSheetId="8" hidden="1">{#N/A,#N/A,FALSE,"Bare Battery F.G."}</definedName>
    <definedName name="_wrn2" localSheetId="12" hidden="1">{#N/A,#N/A,FALSE,"Bare Battery F.G."}</definedName>
    <definedName name="_wrn2" localSheetId="5" hidden="1">{#N/A,#N/A,FALSE,"Bare Battery F.G."}</definedName>
    <definedName name="_wrn2" hidden="1">{#N/A,#N/A,FALSE,"Bare Battery F.G."}</definedName>
    <definedName name="A" localSheetId="8">'[2]TMK280-02'!#REF!</definedName>
    <definedName name="A" localSheetId="12">'[2]TMK280-02'!#REF!</definedName>
    <definedName name="A" localSheetId="9">'[2]TMK280-02'!#REF!</definedName>
    <definedName name="A">'[2]TMK280-02'!#REF!</definedName>
    <definedName name="A2新" localSheetId="8">[1]Database!$A$58</definedName>
    <definedName name="A2新">[1]Database!$A$58</definedName>
    <definedName name="AA" localSheetId="5" hidden="1">{#N/A,#N/A,FALSE,"Bare Battery F.G."}</definedName>
    <definedName name="AA">[3]ISRDATA!$K$5</definedName>
    <definedName name="aaa" localSheetId="8" hidden="1">{#N/A,#N/A,FALSE,"Bare Battery F.G."}</definedName>
    <definedName name="aaa" localSheetId="12" hidden="1">{#N/A,#N/A,FALSE,"Bare Battery F.G."}</definedName>
    <definedName name="aaa" localSheetId="2" hidden="1">{#N/A,#N/A,FALSE,"Bare Battery F.G."}</definedName>
    <definedName name="aaa" localSheetId="5" hidden="1">{#N/A,#N/A,FALSE,"Bare Battery F.G."}</definedName>
    <definedName name="aaa" localSheetId="9" hidden="1">{#N/A,#N/A,FALSE,"Bare Battery F.G."}</definedName>
    <definedName name="aaa" localSheetId="10" hidden="1">{#N/A,#N/A,FALSE,"Bare Battery F.G."}</definedName>
    <definedName name="aaa" localSheetId="4" hidden="1">{#N/A,#N/A,FALSE,"Bare Battery F.G."}</definedName>
    <definedName name="aaa" hidden="1">{#N/A,#N/A,FALSE,"Bare Battery F.G."}</definedName>
    <definedName name="aaaa" localSheetId="12" hidden="1">{#N/A,#N/A,FALSE,"Bare Battery F.G."}</definedName>
    <definedName name="aaaa" localSheetId="5" hidden="1">{#N/A,#N/A,FALSE,"Bare Battery F.G."}</definedName>
    <definedName name="aaaa" hidden="1">{#N/A,#N/A,FALSE,"Bare Battery F.G."}</definedName>
    <definedName name="aaaaa" localSheetId="12" hidden="1">{#N/A,#N/A,FALSE,"Bare Battery F.G."}</definedName>
    <definedName name="aaaaa" localSheetId="5" hidden="1">{#N/A,#N/A,FALSE,"Bare Battery F.G."}</definedName>
    <definedName name="aaaaa" hidden="1">{#N/A,#N/A,FALSE,"Bare Battery F.G."}</definedName>
    <definedName name="AB" hidden="1">{#N/A,#N/A,FALSE,"Bare Battery F.G."}</definedName>
    <definedName name="abc">'[4]Equipment Req Plan'!$O$1:$O$65536</definedName>
    <definedName name="abcdec" localSheetId="12" hidden="1">{#N/A,#N/A,FALSE,"Bare Battery F.G."}</definedName>
    <definedName name="abcdec" localSheetId="5" hidden="1">{#N/A,#N/A,FALSE,"Bare Battery F.G."}</definedName>
    <definedName name="abcdec" hidden="1">{#N/A,#N/A,FALSE,"Bare Battery F.G."}</definedName>
    <definedName name="ac" localSheetId="12">#REF!</definedName>
    <definedName name="ac" localSheetId="9">#REF!</definedName>
    <definedName name="ac">#REF!</definedName>
    <definedName name="ActualMonthIE" localSheetId="12">#REF!</definedName>
    <definedName name="ActualMonthIE" localSheetId="9">#REF!</definedName>
    <definedName name="ActualMonthIE">#REF!</definedName>
    <definedName name="ActualMonthME" localSheetId="12">#REF!</definedName>
    <definedName name="ActualMonthME" localSheetId="2">#REF!</definedName>
    <definedName name="ActualMonthME" localSheetId="9">#REF!</definedName>
    <definedName name="ActualMonthME">#REF!</definedName>
    <definedName name="ActualMonthPE" localSheetId="12">[5]pe!$O$1:$O$65536</definedName>
    <definedName name="ActualMonthPE" localSheetId="5">[5]pe!$O$1:$O$65536</definedName>
    <definedName name="ActualMonthPE">[5]pe!$O:$O</definedName>
    <definedName name="ActualtimeIE" localSheetId="12">#REF!</definedName>
    <definedName name="ActualtimeIE" localSheetId="2">#REF!</definedName>
    <definedName name="ActualtimeIE" localSheetId="5">#REF!</definedName>
    <definedName name="ActualtimeIE" localSheetId="9">#REF!</definedName>
    <definedName name="ActualtimeIE">#REF!</definedName>
    <definedName name="ActualTimeME" localSheetId="12">#REF!</definedName>
    <definedName name="ActualTimeME" localSheetId="2">#REF!</definedName>
    <definedName name="ActualTimeME" localSheetId="9">#REF!</definedName>
    <definedName name="ActualTimeME">#REF!</definedName>
    <definedName name="ActualTimePE" localSheetId="12">[5]pe!$L$1:$L$65536</definedName>
    <definedName name="ActualTimePE" localSheetId="5">[5]pe!$L$1:$L$65536</definedName>
    <definedName name="ActualTimePE">[5]pe!$L:$L</definedName>
    <definedName name="ADAD">'[6]125PIECE'!$O$10:$AM$10</definedName>
    <definedName name="AL" localSheetId="12" hidden="1">{#N/A,#N/A,FALSE,"Bare Battery F.G."}</definedName>
    <definedName name="AL" localSheetId="5" hidden="1">{#N/A,#N/A,FALSE,"Bare Battery F.G."}</definedName>
    <definedName name="AL" hidden="1">{#N/A,#N/A,FALSE,"Bare Battery F.G."}</definedName>
    <definedName name="Al_Tab断" localSheetId="12">#REF!</definedName>
    <definedName name="Al_Tab断" localSheetId="2">#REF!</definedName>
    <definedName name="Al_Tab断" localSheetId="9">#REF!</definedName>
    <definedName name="Al_Tab断">#REF!</definedName>
    <definedName name="all">[7]Sheet2!$C$2:$F$529</definedName>
    <definedName name="already" localSheetId="8">OFFSET(BOM!start,,4,)</definedName>
    <definedName name="already" localSheetId="12">OFFSET('Cell Weight'!start,,4,)</definedName>
    <definedName name="already" localSheetId="2">OFFSET(start,,4,)</definedName>
    <definedName name="already" localSheetId="5">OFFSET(材料数据库!start,,4,)</definedName>
    <definedName name="already" localSheetId="9">OFFSET([0]!start,,4,)</definedName>
    <definedName name="already" localSheetId="10">OFFSET(start,,4,)</definedName>
    <definedName name="already" localSheetId="4">OFFSET(start,,4,)</definedName>
    <definedName name="already">OFFSET(start,,4,)</definedName>
    <definedName name="an" localSheetId="12">#REF!</definedName>
    <definedName name="an" localSheetId="9">#REF!</definedName>
    <definedName name="an">#REF!</definedName>
    <definedName name="anodelist">OFFSET([8]Anode!$C$10,,,COUNTA([8]Anode!$C$10:$C$60))</definedName>
    <definedName name="anscount" hidden="1">3</definedName>
    <definedName name="ap" localSheetId="5">'[9]ACE(P1)'!$H$7:$IV$7</definedName>
    <definedName name="ap">'[10]ACE(P1)'!$H$7:$IV$7</definedName>
    <definedName name="AS2DocOpenMode" hidden="1">"AS2DocumentEdit"</definedName>
    <definedName name="asas">[11]ISRDATA!$K$5</definedName>
    <definedName name="asd">[12]ISRDATA!$M$1</definedName>
    <definedName name="auto" localSheetId="12" hidden="1">{#N/A,#N/A,FALSE,"Bare Battery F.G."}</definedName>
    <definedName name="auto" localSheetId="5" hidden="1">{#N/A,#N/A,FALSE,"Bare Battery F.G."}</definedName>
    <definedName name="auto" hidden="1">{#N/A,#N/A,FALSE,"Bare Battery F.G."}</definedName>
    <definedName name="ax" localSheetId="12">#REF!</definedName>
    <definedName name="ax" localSheetId="2">#REF!</definedName>
    <definedName name="ax" localSheetId="5">#REF!</definedName>
    <definedName name="ax" localSheetId="9">#REF!</definedName>
    <definedName name="ax" localSheetId="10">#REF!</definedName>
    <definedName name="ax">#REF!</definedName>
    <definedName name="b" localSheetId="5">'[9]0L2'!$I$3:$IV$3</definedName>
    <definedName name="b">'[13]125PIECE'!$O$10:$AM$10</definedName>
    <definedName name="B5GF" localSheetId="12" hidden="1">{#N/A,#N/A,FALSE,"Bare Battery F.G."}</definedName>
    <definedName name="B5GF" hidden="1">{#N/A,#N/A,FALSE,"Bare Battery F.G."}</definedName>
    <definedName name="bb" localSheetId="12">#REF!</definedName>
    <definedName name="bb" localSheetId="9">#REF!</definedName>
    <definedName name="bb">#REF!</definedName>
    <definedName name="bc" localSheetId="5">'[9]0L2'!$I$7:$IV$7</definedName>
    <definedName name="bc">'[10]0L2'!$H$7:$IV$7</definedName>
    <definedName name="Blatt1" localSheetId="12">#REF!</definedName>
    <definedName name="Blatt1" localSheetId="9">#REF!</definedName>
    <definedName name="Blatt1">#REF!</definedName>
    <definedName name="Blatt11" localSheetId="12">#REF!</definedName>
    <definedName name="Blatt11" localSheetId="9">#REF!</definedName>
    <definedName name="Blatt11">#REF!</definedName>
    <definedName name="Blatt12" localSheetId="12">#REF!</definedName>
    <definedName name="Blatt12" localSheetId="9">#REF!</definedName>
    <definedName name="Blatt12">#REF!</definedName>
    <definedName name="Blatt13" localSheetId="12">#REF!</definedName>
    <definedName name="Blatt13" localSheetId="9">#REF!</definedName>
    <definedName name="Blatt13">#REF!</definedName>
    <definedName name="Blatt3" localSheetId="12">#REF!</definedName>
    <definedName name="Blatt3" localSheetId="9">#REF!</definedName>
    <definedName name="Blatt3">#REF!</definedName>
    <definedName name="CAN">[14]RATE!$D$5</definedName>
    <definedName name="capacity383562" localSheetId="12">#REF!</definedName>
    <definedName name="capacity383562" localSheetId="2">#REF!</definedName>
    <definedName name="capacity383562" localSheetId="5">#REF!</definedName>
    <definedName name="capacity383562" localSheetId="9">#REF!</definedName>
    <definedName name="capacity383562">#REF!</definedName>
    <definedName name="cathodelist">OFFSET([8]Cathode!$C$10,,,COUNTA([8]Cathode!$C$10:$C$50))</definedName>
    <definedName name="cc" localSheetId="12">#REF!</definedName>
    <definedName name="cc" localSheetId="9">#REF!</definedName>
    <definedName name="cc">#REF!</definedName>
    <definedName name="ce" localSheetId="8">OFFSET(BOM!start,,6,)</definedName>
    <definedName name="ce" localSheetId="12">OFFSET('Cell Weight'!start,,6,)</definedName>
    <definedName name="ce" localSheetId="2">OFFSET(start,,6,)</definedName>
    <definedName name="ce" localSheetId="5">OFFSET(材料数据库!start,,6,)</definedName>
    <definedName name="ce" localSheetId="9">OFFSET([0]!start,,6,)</definedName>
    <definedName name="ce" localSheetId="10">OFFSET(start,,6,)</definedName>
    <definedName name="ce" localSheetId="4">OFFSET(start,,6,)</definedName>
    <definedName name="ce">OFFSET(start,,6,)</definedName>
    <definedName name="cell" localSheetId="12">#REF!</definedName>
    <definedName name="cell" localSheetId="5">'[9]0L2'!$I$3:$IV$3</definedName>
    <definedName name="cell" localSheetId="9">#REF!</definedName>
    <definedName name="cell">#REF!</definedName>
    <definedName name="cellall" localSheetId="12">#REF!</definedName>
    <definedName name="cellall" localSheetId="5">'[9]0L2'!#REF!</definedName>
    <definedName name="cellall" localSheetId="9">#REF!</definedName>
    <definedName name="cellall">#REF!</definedName>
    <definedName name="ContentsIE" localSheetId="12">#REF!</definedName>
    <definedName name="ContentsIE" localSheetId="2">#REF!</definedName>
    <definedName name="ContentsIE" localSheetId="5">#REF!</definedName>
    <definedName name="ContentsIE" localSheetId="9">#REF!</definedName>
    <definedName name="ContentsIE" localSheetId="10">#REF!</definedName>
    <definedName name="ContentsIE">#REF!</definedName>
    <definedName name="ContentsME" localSheetId="12">#REF!</definedName>
    <definedName name="ContentsME" localSheetId="2">#REF!</definedName>
    <definedName name="ContentsME" localSheetId="9">#REF!</definedName>
    <definedName name="ContentsME">#REF!</definedName>
    <definedName name="ContentsPE" localSheetId="12">[5]pe!$G$1:$G$65536</definedName>
    <definedName name="ContentsPE" localSheetId="5">[5]pe!$G$1:$G$65536</definedName>
    <definedName name="ContentsPE">[5]pe!$G:$G</definedName>
    <definedName name="cost383562" localSheetId="12">#REF!</definedName>
    <definedName name="cost383562" localSheetId="2">#REF!</definedName>
    <definedName name="cost383562" localSheetId="5">#REF!</definedName>
    <definedName name="cost383562" localSheetId="9">#REF!</definedName>
    <definedName name="cost383562">#REF!</definedName>
    <definedName name="cover" localSheetId="12" hidden="1">#REF!</definedName>
    <definedName name="cover" localSheetId="9" hidden="1">#REF!</definedName>
    <definedName name="cover" hidden="1">#REF!</definedName>
    <definedName name="_xlnm.Criteria" localSheetId="12">#REF!</definedName>
    <definedName name="_xlnm.Criteria" localSheetId="2">#REF!</definedName>
    <definedName name="_xlnm.Criteria" localSheetId="9">#REF!</definedName>
    <definedName name="_xlnm.Criteria">#REF!</definedName>
    <definedName name="cs">'[13]125PIECE'!$O$10:$AM$10</definedName>
    <definedName name="D" localSheetId="8" hidden="1">{#N/A,#N/A,FALSE,"Bare Battery F.G."}</definedName>
    <definedName name="D" localSheetId="12" hidden="1">{#N/A,#N/A,FALSE,"Bare Battery F.G."}</definedName>
    <definedName name="D" localSheetId="2" hidden="1">{#N/A,#N/A,FALSE,"Bare Battery F.G."}</definedName>
    <definedName name="D" localSheetId="5" hidden="1">{#N/A,#N/A,FALSE,"Bare Battery F.G."}</definedName>
    <definedName name="D" localSheetId="9" hidden="1">{#N/A,#N/A,FALSE,"Bare Battery F.G."}</definedName>
    <definedName name="D" localSheetId="10" hidden="1">{#N/A,#N/A,FALSE,"Bare Battery F.G."}</definedName>
    <definedName name="D" localSheetId="4" hidden="1">{#N/A,#N/A,FALSE,"Bare Battery F.G."}</definedName>
    <definedName name="D" hidden="1">{#N/A,#N/A,FALSE,"Bare Battery F.G."}</definedName>
    <definedName name="data" localSheetId="5">#REF!</definedName>
    <definedName name="data">[15]ISRDATA!$H$5</definedName>
    <definedName name="Data___Borrower" localSheetId="12">#REF!</definedName>
    <definedName name="Data___Borrower" localSheetId="9">#REF!</definedName>
    <definedName name="Data___Borrower">#REF!</definedName>
    <definedName name="Data___Coll_Info" localSheetId="12">#REF!</definedName>
    <definedName name="Data___Coll_Info" localSheetId="9">#REF!</definedName>
    <definedName name="Data___Coll_Info">#REF!</definedName>
    <definedName name="Data___Coll_Scenario" localSheetId="12">#REF!</definedName>
    <definedName name="Data___Coll_Scenario" localSheetId="9">#REF!</definedName>
    <definedName name="Data___Coll_Scenario">#REF!</definedName>
    <definedName name="Data___Loan" localSheetId="12">#REF!</definedName>
    <definedName name="Data___Loan" localSheetId="9">#REF!</definedName>
    <definedName name="Data___Loan">#REF!</definedName>
    <definedName name="_xlnm.Database" localSheetId="12">'[16]Sheet 2'!#REF!</definedName>
    <definedName name="_xlnm.Database" localSheetId="5">'[16]Sheet 2'!#REF!</definedName>
    <definedName name="_xlnm.Database" localSheetId="9">'[16]Sheet 2'!#REF!</definedName>
    <definedName name="_xlnm.Database">'[16]Sheet 2'!#REF!</definedName>
    <definedName name="dataH" localSheetId="12">#REF!</definedName>
    <definedName name="dataH" localSheetId="2">#REF!</definedName>
    <definedName name="dataH" localSheetId="5">#REF!</definedName>
    <definedName name="dataH" localSheetId="9">#REF!</definedName>
    <definedName name="dataH">#REF!</definedName>
    <definedName name="DD" localSheetId="8" hidden="1">{#N/A,#N/A,FALSE,"Bare Battery F.G."}</definedName>
    <definedName name="dd" localSheetId="12">[17]ISRDATA!$H$5</definedName>
    <definedName name="DD" localSheetId="2" hidden="1">{#N/A,#N/A,FALSE,"Bare Battery F.G."}</definedName>
    <definedName name="DD" localSheetId="9" hidden="1">{#N/A,#N/A,FALSE,"Bare Battery F.G."}</definedName>
    <definedName name="DD" localSheetId="10" hidden="1">{#N/A,#N/A,FALSE,"Bare Battery F.G."}</definedName>
    <definedName name="DD" localSheetId="4" hidden="1">{#N/A,#N/A,FALSE,"Bare Battery F.G."}</definedName>
    <definedName name="DD" hidden="1">{#N/A,#N/A,FALSE,"Bare Battery F.G."}</definedName>
    <definedName name="DDD" localSheetId="12">#REF!</definedName>
    <definedName name="ddd" localSheetId="5" hidden="1">{#N/A,#N/A,FALSE,"Bare Battery F.G."}</definedName>
    <definedName name="DDD" localSheetId="9">#REF!</definedName>
    <definedName name="DDD">#REF!</definedName>
    <definedName name="dept" localSheetId="12">#REF!</definedName>
    <definedName name="dept" localSheetId="5">#REF!</definedName>
    <definedName name="dept" localSheetId="9">#REF!</definedName>
    <definedName name="dept">#REF!</definedName>
    <definedName name="Designyt" localSheetId="8">OFFSET(BOM!start,,7,)</definedName>
    <definedName name="Designyt" localSheetId="12">OFFSET('Cell Weight'!start,,7,)</definedName>
    <definedName name="Designyt" localSheetId="2">OFFSET([0]!start,,7,)</definedName>
    <definedName name="Designyt" localSheetId="5">OFFSET(材料数据库!start,,7,)</definedName>
    <definedName name="Designyt" localSheetId="9">OFFSET([0]!start,,7,)</definedName>
    <definedName name="Designyt" localSheetId="10">OFFSET([0]!start,,7,)</definedName>
    <definedName name="Designyt" localSheetId="4">OFFSET([0]!start,,7,)</definedName>
    <definedName name="Designyt">OFFSET([0]!start,,7,)</definedName>
    <definedName name="DF" localSheetId="12">[18]model!OPERATION</definedName>
    <definedName name="DF" localSheetId="9">[18]model!OPERATION</definedName>
    <definedName name="DF">[18]model!OPERATION</definedName>
    <definedName name="DGL" localSheetId="12">[19]Rate!#REF!</definedName>
    <definedName name="DGL" localSheetId="9">[19]Rate!#REF!</definedName>
    <definedName name="DGL">[19]Rate!#REF!</definedName>
    <definedName name="discount" localSheetId="12">#REF!</definedName>
    <definedName name="discount" localSheetId="9">#REF!</definedName>
    <definedName name="discount">#REF!</definedName>
    <definedName name="dispyear" localSheetId="12">#REF!</definedName>
    <definedName name="dispyear" localSheetId="9">#REF!</definedName>
    <definedName name="dispyear">#REF!</definedName>
    <definedName name="DM" localSheetId="12">[19]Rate!#REF!</definedName>
    <definedName name="DM" localSheetId="9">[19]Rate!#REF!</definedName>
    <definedName name="DM">[19]Rate!#REF!</definedName>
    <definedName name="DSDA">'[20]125PIECE'!$O$10:$AM$10</definedName>
    <definedName name="e" localSheetId="5">'[9]Coating CEC(M6)'!$H$3:$IV$3</definedName>
    <definedName name="e">'[10]Coating CEC'!$H$3:$IV$3</definedName>
    <definedName name="eafe" localSheetId="12">#REF!</definedName>
    <definedName name="eafe" localSheetId="9">#REF!</definedName>
    <definedName name="eafe">#REF!</definedName>
    <definedName name="ee" localSheetId="12" hidden="1">{#N/A,#N/A,FALSE,"Bare Battery F.G."}</definedName>
    <definedName name="ee" hidden="1">{#N/A,#N/A,FALSE,"Bare Battery F.G."}</definedName>
    <definedName name="EE_Part_No">[21]ISRDATA!$C$4</definedName>
    <definedName name="EE_Print_Date">[21]ISRDATA!$H$5</definedName>
    <definedName name="eee" localSheetId="12">#REF!</definedName>
    <definedName name="eee" localSheetId="5">#REF!</definedName>
    <definedName name="eee" localSheetId="9">#REF!</definedName>
    <definedName name="eee">#REF!</definedName>
    <definedName name="electrolytelist">OFFSET([8]Electrolyte!$C$10,,,COUNTA([8]Electrolyte!$C$10:$C$50))</definedName>
    <definedName name="ENC6A" localSheetId="12">#REF!</definedName>
    <definedName name="ENC6A" localSheetId="9">#REF!</definedName>
    <definedName name="ENC6A">#REF!</definedName>
    <definedName name="ENC6B" localSheetId="12">#REF!</definedName>
    <definedName name="ENC6B" localSheetId="9">#REF!</definedName>
    <definedName name="ENC6B">#REF!</definedName>
    <definedName name="ENC6C" localSheetId="12">#REF!</definedName>
    <definedName name="ENC6C" localSheetId="9">#REF!</definedName>
    <definedName name="ENC6C">#REF!</definedName>
    <definedName name="ENC6D" localSheetId="12">#REF!</definedName>
    <definedName name="ENC6D" localSheetId="9">#REF!</definedName>
    <definedName name="ENC6D">#REF!</definedName>
    <definedName name="ENC9A" localSheetId="12">#REF!</definedName>
    <definedName name="ENC9A" localSheetId="9">#REF!</definedName>
    <definedName name="ENC9A">#REF!</definedName>
    <definedName name="ENC9B" localSheetId="12">#REF!</definedName>
    <definedName name="ENC9B" localSheetId="9">#REF!</definedName>
    <definedName name="ENC9B">#REF!</definedName>
    <definedName name="ENC9C" localSheetId="12">#REF!</definedName>
    <definedName name="ENC9C" localSheetId="9">#REF!</definedName>
    <definedName name="ENC9C">#REF!</definedName>
    <definedName name="ENC9D" localSheetId="12">#REF!</definedName>
    <definedName name="ENC9D" localSheetId="9">#REF!</definedName>
    <definedName name="ENC9D">#REF!</definedName>
    <definedName name="ENC9E" localSheetId="12">#REF!</definedName>
    <definedName name="ENC9E" localSheetId="9">#REF!</definedName>
    <definedName name="ENC9E">#REF!</definedName>
    <definedName name="ENC9F" localSheetId="12">#REF!</definedName>
    <definedName name="ENC9F" localSheetId="9">#REF!</definedName>
    <definedName name="ENC9F">#REF!</definedName>
    <definedName name="eqm" localSheetId="12" hidden="1">{#N/A,#N/A,FALSE,"Bare Battery F.G."}</definedName>
    <definedName name="eqm" hidden="1">{#N/A,#N/A,FALSE,"Bare Battery F.G."}</definedName>
    <definedName name="es" localSheetId="5">'[9]Coating CEC(M6)'!$H$7:$IV$7</definedName>
    <definedName name="es">'[10]Coating CEC'!$H$7:$IV$7</definedName>
    <definedName name="EUR">[14]RATE!$D$6</definedName>
    <definedName name="ewr" localSheetId="12" hidden="1">{#N/A,#N/A,FALSE,"Bare Battery F.G."}</definedName>
    <definedName name="ewr" hidden="1">{#N/A,#N/A,FALSE,"Bare Battery F.G."}</definedName>
    <definedName name="f" localSheetId="12">'[10]Seperater-P1'!$H$3:$IV$3</definedName>
    <definedName name="F" localSheetId="2" hidden="1">{#N/A,#N/A,FALSE,"Bare Battery F.G."}</definedName>
    <definedName name="f" localSheetId="5">'[9]Seperater-P1'!$H$3:$IV$3</definedName>
    <definedName name="F" localSheetId="9" hidden="1">{#N/A,#N/A,FALSE,"Bare Battery F.G."}</definedName>
    <definedName name="F" localSheetId="10" hidden="1">{#N/A,#N/A,FALSE,"Bare Battery F.G."}</definedName>
    <definedName name="F" localSheetId="4" hidden="1">{#N/A,#N/A,FALSE,"Bare Battery F.G."}</definedName>
    <definedName name="F" hidden="1">{#N/A,#N/A,FALSE,"Bare Battery F.G."}</definedName>
    <definedName name="fai">[12]ISRDATA!$U$7</definedName>
    <definedName name="FDDF" localSheetId="12" hidden="1">{#N/A,#N/A,FALSE,"Bare Battery F.G."}</definedName>
    <definedName name="FDDF" localSheetId="5" hidden="1">{#N/A,#N/A,FALSE,"Bare Battery F.G."}</definedName>
    <definedName name="FDDF" hidden="1">{#N/A,#N/A,FALSE,"Bare Battery F.G."}</definedName>
    <definedName name="FEDS" localSheetId="12" hidden="1">{#N/A,#N/A,FALSE,"Bare Battery F.G."}</definedName>
    <definedName name="FEDS" hidden="1">{#N/A,#N/A,FALSE,"Bare Battery F.G."}</definedName>
    <definedName name="fff" localSheetId="5">#REF!</definedName>
    <definedName name="fff">'[13]125PIECE'!$O$10:$AM$10</definedName>
    <definedName name="FFR" localSheetId="12">[19]Rate!#REF!</definedName>
    <definedName name="FFR" localSheetId="9">[19]Rate!#REF!</definedName>
    <definedName name="FFR">[19]Rate!#REF!</definedName>
    <definedName name="fgghtt">[22]Sheet371!$D$1:$D$100</definedName>
    <definedName name="fggtyt" localSheetId="12">#REF!</definedName>
    <definedName name="fggtyt" localSheetId="9">#REF!</definedName>
    <definedName name="fggtyt">#REF!</definedName>
    <definedName name="FixIndex59_2" localSheetId="12">#REF!</definedName>
    <definedName name="FixIndex59_2" localSheetId="9">#REF!</definedName>
    <definedName name="FixIndex59_2">#REF!</definedName>
    <definedName name="fjdsk" localSheetId="12" hidden="1">{#N/A,#N/A,FALSE,"Bare Battery F.G."}</definedName>
    <definedName name="fjdsk" hidden="1">{#N/A,#N/A,FALSE,"Bare Battery F.G."}</definedName>
    <definedName name="FNC" localSheetId="8" hidden="1">{#N/A,#N/A,FALSE,"Bare Battery F.G."}</definedName>
    <definedName name="FNC" localSheetId="12" hidden="1">{#N/A,#N/A,FALSE,"Bare Battery F.G."}</definedName>
    <definedName name="FNC" localSheetId="2" hidden="1">{#N/A,#N/A,FALSE,"Bare Battery F.G."}</definedName>
    <definedName name="FNC" localSheetId="5" hidden="1">{#N/A,#N/A,FALSE,"Bare Battery F.G."}</definedName>
    <definedName name="FNC" localSheetId="9" hidden="1">{#N/A,#N/A,FALSE,"Bare Battery F.G."}</definedName>
    <definedName name="FNC" localSheetId="10" hidden="1">{#N/A,#N/A,FALSE,"Bare Battery F.G."}</definedName>
    <definedName name="FNC" localSheetId="4" hidden="1">{#N/A,#N/A,FALSE,"Bare Battery F.G."}</definedName>
    <definedName name="FNC" hidden="1">{#N/A,#N/A,FALSE,"Bare Battery F.G."}</definedName>
    <definedName name="Folgeseiten" localSheetId="12">#REF!</definedName>
    <definedName name="Folgeseiten" localSheetId="9">#REF!</definedName>
    <definedName name="Folgeseiten">#REF!</definedName>
    <definedName name="fs" localSheetId="5">'[9]Seperater-P1'!$H$7:$IV$7</definedName>
    <definedName name="fs">'[10]Seperater-P1'!$H$7:$IV$7</definedName>
    <definedName name="FSDF">[12]ISRDATA!$P$7</definedName>
    <definedName name="FUSE焊接" localSheetId="12" hidden="1">{#N/A,#N/A,FALSE,"Bare Battery F.G."}</definedName>
    <definedName name="FUSE焊接" localSheetId="5" hidden="1">{#N/A,#N/A,FALSE,"Bare Battery F.G."}</definedName>
    <definedName name="FUSE焊接" hidden="1">{#N/A,#N/A,FALSE,"Bare Battery F.G."}</definedName>
    <definedName name="g" localSheetId="12" hidden="1">{#N/A,#N/A,FALSE,"Bare Battery F.G."}</definedName>
    <definedName name="g" localSheetId="5" hidden="1">{#N/A,#N/A,FALSE,"Bare Battery F.G."}</definedName>
    <definedName name="g" hidden="1">{#N/A,#N/A,FALSE,"Bare Battery F.G."}</definedName>
    <definedName name="GB">[1]Database!$A$58</definedName>
    <definedName name="gDataRange" localSheetId="12">#REF!</definedName>
    <definedName name="gDataRange" localSheetId="9">#REF!</definedName>
    <definedName name="gDataRange">#REF!</definedName>
    <definedName name="ggg" localSheetId="12">#REF!</definedName>
    <definedName name="ggg" localSheetId="5">#REF!</definedName>
    <definedName name="ggg" localSheetId="9">#REF!</definedName>
    <definedName name="ggg">#REF!</definedName>
    <definedName name="gh">{#N/A,#N/A,FALSE,"Bare Battery F.G."}</definedName>
    <definedName name="ghyg" localSheetId="12">#REF!</definedName>
    <definedName name="ghyg" localSheetId="9">#REF!</definedName>
    <definedName name="ghyg">#REF!</definedName>
    <definedName name="gjygg" localSheetId="12">#REF!</definedName>
    <definedName name="gjygg" localSheetId="9">#REF!</definedName>
    <definedName name="gjygg">#REF!</definedName>
    <definedName name="GrossAreaSqM">'[23]Physical Description'!$F$47</definedName>
    <definedName name="GroupA" localSheetId="8">[1]Database!$A$58</definedName>
    <definedName name="GroupA" localSheetId="12">[1]Database!$A$58</definedName>
    <definedName name="GroupA">[1]Database!$A$58</definedName>
    <definedName name="GroupB" localSheetId="8">[1]Database!$A$58</definedName>
    <definedName name="GroupB" localSheetId="12">[1]Database!$A$58</definedName>
    <definedName name="GroupB">[1]Database!$A$58</definedName>
    <definedName name="h" localSheetId="12">#REF!</definedName>
    <definedName name="h" localSheetId="9">#REF!</definedName>
    <definedName name="h">#REF!</definedName>
    <definedName name="han" localSheetId="12" hidden="1">{#N/A,#N/A,FALSE,"Bare Battery F.G."}</definedName>
    <definedName name="han" hidden="1">{#N/A,#N/A,FALSE,"Bare Battery F.G."}</definedName>
    <definedName name="hfghjng" localSheetId="12">#REF!</definedName>
    <definedName name="hfghjng" localSheetId="9">#REF!</definedName>
    <definedName name="hfghjng">#REF!</definedName>
    <definedName name="hgf" hidden="1">{#N/A,#N/A,FALSE,"Bare Battery F.G."}</definedName>
    <definedName name="hh" localSheetId="12" hidden="1">{#N/A,#N/A,FALSE,"Bare Battery F.G."}</definedName>
    <definedName name="hh" hidden="1">{#N/A,#N/A,FALSE,"Bare Battery F.G."}</definedName>
    <definedName name="hhg" localSheetId="12" hidden="1">{#N/A,#N/A,FALSE,"Bare Battery F.G."}</definedName>
    <definedName name="hhg" hidden="1">{#N/A,#N/A,FALSE,"Bare Battery F.G."}</definedName>
    <definedName name="hhh" localSheetId="12">#REF!</definedName>
    <definedName name="hhh" localSheetId="9">#REF!</definedName>
    <definedName name="hhh">#REF!</definedName>
    <definedName name="hhhhh" localSheetId="12" hidden="1">{#N/A,#N/A,FALSE,"Bare Battery F.G."}</definedName>
    <definedName name="hhhhh" hidden="1">{#N/A,#N/A,FALSE,"Bare Battery F.G."}</definedName>
    <definedName name="Histogram_Plot_Create" localSheetId="12">[24]!Histogram_Plot_Create</definedName>
    <definedName name="Histogram_Plot_Create" localSheetId="9">[24]!Histogram_Plot_Create</definedName>
    <definedName name="Histogram_Plot_Create">[24]!Histogram_Plot_Create</definedName>
    <definedName name="HK">[14]RATE!$D$14</definedName>
    <definedName name="hyou" localSheetId="12">#REF!</definedName>
    <definedName name="hyou" localSheetId="9">#REF!</definedName>
    <definedName name="hyou">#REF!</definedName>
    <definedName name="hyousi" localSheetId="12" hidden="1">#REF!</definedName>
    <definedName name="hyousi" localSheetId="9" hidden="1">#REF!</definedName>
    <definedName name="hyousi" hidden="1">#REF!</definedName>
    <definedName name="i" localSheetId="12">#REF!</definedName>
    <definedName name="i" localSheetId="9">#REF!</definedName>
    <definedName name="i">#REF!</definedName>
    <definedName name="ii" localSheetId="12" hidden="1">{#N/A,#N/A,FALSE,"Bare Battery F.G."}</definedName>
    <definedName name="ii" hidden="1">{#N/A,#N/A,FALSE,"Bare Battery F.G."}</definedName>
    <definedName name="Insp_Date">[12]ISRDATA!$U$7</definedName>
    <definedName name="interest" localSheetId="12">#REF!</definedName>
    <definedName name="interest" localSheetId="9">#REF!</definedName>
    <definedName name="interest">#REF!</definedName>
    <definedName name="ints" localSheetId="12">#REF!</definedName>
    <definedName name="ints" localSheetId="9">#REF!</definedName>
    <definedName name="ints">#REF!</definedName>
    <definedName name="ISR_No.">[12]ISRDATA!$M$1</definedName>
    <definedName name="item" localSheetId="8">OFFSET(BOM!start,,-1,)</definedName>
    <definedName name="item" localSheetId="12">OFFSET('Cell Weight'!start,,-1,)</definedName>
    <definedName name="item" localSheetId="2">OFFSET(start,,-1,)</definedName>
    <definedName name="item" localSheetId="5">OFFSET(材料数据库!start,,-1,)</definedName>
    <definedName name="item" localSheetId="9">OFFSET([0]!start,,-1,)</definedName>
    <definedName name="item" localSheetId="10">OFFSET(start,,-1,)</definedName>
    <definedName name="item" localSheetId="4">OFFSET(start,,-1,)</definedName>
    <definedName name="item">OFFSET(start,,-1,)</definedName>
    <definedName name="iu" localSheetId="12" hidden="1">{#N/A,#N/A,FALSE,"Bare Battery F.G."}</definedName>
    <definedName name="iu" hidden="1">{#N/A,#N/A,FALSE,"Bare Battery F.G."}</definedName>
    <definedName name="j" localSheetId="12" hidden="1">{#N/A,#N/A,FALSE,"Bare Battery F.G."}</definedName>
    <definedName name="j" hidden="1">{#N/A,#N/A,FALSE,"Bare Battery F.G."}</definedName>
    <definedName name="jhgfdtr" localSheetId="12">#REF!</definedName>
    <definedName name="jhgfdtr" localSheetId="9">#REF!</definedName>
    <definedName name="jhgfdtr">#REF!</definedName>
    <definedName name="jhtgvb">[12]ISRDATA!$P$7</definedName>
    <definedName name="jj" localSheetId="12" hidden="1">{#N/A,#N/A,FALSE,"Bare Battery F.G."}</definedName>
    <definedName name="jj" hidden="1">{#N/A,#N/A,FALSE,"Bare Battery F.G."}</definedName>
    <definedName name="jjj" localSheetId="12" hidden="1">{#N/A,#N/A,FALSE,"Bare Battery F.G."}</definedName>
    <definedName name="jjj" hidden="1">{#N/A,#N/A,FALSE,"Bare Battery F.G."}</definedName>
    <definedName name="jk" localSheetId="12" hidden="1">{#N/A,#N/A,FALSE,"Bare Battery F.G."}</definedName>
    <definedName name="jk" hidden="1">{#N/A,#N/A,FALSE,"Bare Battery F.G."}</definedName>
    <definedName name="JREFC_CR" localSheetId="12">#REF!</definedName>
    <definedName name="JREFC_CR" localSheetId="9">#REF!</definedName>
    <definedName name="JREFC_CR">#REF!</definedName>
    <definedName name="JREFC_DR" localSheetId="12">#REF!</definedName>
    <definedName name="JREFC_DR" localSheetId="9">#REF!</definedName>
    <definedName name="JREFC_DR">#REF!</definedName>
    <definedName name="JREFC_TO" localSheetId="12">#REF!</definedName>
    <definedName name="JREFC_TO" localSheetId="9">#REF!</definedName>
    <definedName name="JREFC_TO">#REF!</definedName>
    <definedName name="JREFRN_CR" localSheetId="12">#REF!</definedName>
    <definedName name="JREFRN_CR" localSheetId="9">#REF!</definedName>
    <definedName name="JREFRN_CR">#REF!</definedName>
    <definedName name="JREFRN_DR" localSheetId="12">#REF!</definedName>
    <definedName name="JREFRN_DR" localSheetId="9">#REF!</definedName>
    <definedName name="JREFRN_DR">#REF!</definedName>
    <definedName name="JREFRN_TO" localSheetId="12">#REF!</definedName>
    <definedName name="JREFRN_TO" localSheetId="9">#REF!</definedName>
    <definedName name="JREFRN_TO">#REF!</definedName>
    <definedName name="JREYEN_CR" localSheetId="12">#REF!</definedName>
    <definedName name="JREYEN_CR" localSheetId="9">#REF!</definedName>
    <definedName name="JREYEN_CR">#REF!</definedName>
    <definedName name="JREYEN_DR" localSheetId="12">#REF!</definedName>
    <definedName name="JREYEN_DR" localSheetId="9">#REF!</definedName>
    <definedName name="JREYEN_DR">#REF!</definedName>
    <definedName name="JREYEN_TO" localSheetId="12">#REF!</definedName>
    <definedName name="JREYEN_TO" localSheetId="9">#REF!</definedName>
    <definedName name="JREYEN_TO">#REF!</definedName>
    <definedName name="JRMSG1" localSheetId="12">#REF!</definedName>
    <definedName name="JRMSG1" localSheetId="9">#REF!</definedName>
    <definedName name="JRMSG1">#REF!</definedName>
    <definedName name="jy" localSheetId="8">OFFSET(BOM!start,,7,)</definedName>
    <definedName name="jy" localSheetId="12">OFFSET('Cell Weight'!start,,7,)</definedName>
    <definedName name="jy" localSheetId="2">OFFSET(start,,7,)</definedName>
    <definedName name="jy" localSheetId="5">OFFSET(材料数据库!start,,7,)</definedName>
    <definedName name="jy" localSheetId="9">OFFSET([0]!start,,7,)</definedName>
    <definedName name="jy" localSheetId="10">OFFSET(start,,7,)</definedName>
    <definedName name="jy" localSheetId="4">OFFSET(start,,7,)</definedName>
    <definedName name="jy">OFFSET(start,,7,)</definedName>
    <definedName name="kk" localSheetId="12" hidden="1">{#N/A,#N/A,FALSE,"Bare Battery F.G."}</definedName>
    <definedName name="kk" hidden="1">{#N/A,#N/A,FALSE,"Bare Battery F.G."}</definedName>
    <definedName name="kouji" localSheetId="12">#REF!</definedName>
    <definedName name="kouji" localSheetId="9">#REF!</definedName>
    <definedName name="kouji">#REF!</definedName>
    <definedName name="KPMG_2" localSheetId="12">#REF!</definedName>
    <definedName name="KPMG_2" localSheetId="9">#REF!</definedName>
    <definedName name="KPMG_2">#REF!</definedName>
    <definedName name="KW5_97_Prisma_Stru" localSheetId="12">#REF!</definedName>
    <definedName name="KW5_97_Prisma_Stru" localSheetId="9">#REF!</definedName>
    <definedName name="KW5_97_Prisma_Stru">#REF!</definedName>
    <definedName name="l" localSheetId="12">#REF!</definedName>
    <definedName name="l" localSheetId="5">#REF!</definedName>
    <definedName name="l" localSheetId="9">#REF!</definedName>
    <definedName name="l">#REF!</definedName>
    <definedName name="LandAreaSqM">'[23]Physical Description'!$F$29</definedName>
    <definedName name="laohuaban" localSheetId="12" hidden="1">{#N/A,#N/A,FALSE,"Bare Battery F.G."}</definedName>
    <definedName name="laohuaban" hidden="1">{#N/A,#N/A,FALSE,"Bare Battery F.G."}</definedName>
    <definedName name="last" localSheetId="8">OFFSET(BOM!start,,5,)</definedName>
    <definedName name="last" localSheetId="12">OFFSET('Cell Weight'!start,,5,)</definedName>
    <definedName name="last" localSheetId="2">OFFSET(start,,5,)</definedName>
    <definedName name="last" localSheetId="5">OFFSET(材料数据库!start,,5,)</definedName>
    <definedName name="last" localSheetId="9">OFFSET([0]!start,,5,)</definedName>
    <definedName name="last" localSheetId="10">OFFSET(start,,5,)</definedName>
    <definedName name="last" localSheetId="4">OFFSET(start,,5,)</definedName>
    <definedName name="last">OFFSET(start,,5,)</definedName>
    <definedName name="LAYOUT" localSheetId="12" hidden="1">{#N/A,#N/A,FALSE,"Bare Battery F.G."}</definedName>
    <definedName name="LAYOUT" hidden="1">{#N/A,#N/A,FALSE,"Bare Battery F.G."}</definedName>
    <definedName name="LISTCOM" localSheetId="12">#REF!</definedName>
    <definedName name="LISTCOM" localSheetId="9">#REF!</definedName>
    <definedName name="LISTCOM">#REF!</definedName>
    <definedName name="LISTCOMNAME" localSheetId="12">#REF!</definedName>
    <definedName name="LISTCOMNAME" localSheetId="9">#REF!</definedName>
    <definedName name="LISTCOMNAME">#REF!</definedName>
    <definedName name="LISTCOMNUM" localSheetId="12">#REF!</definedName>
    <definedName name="LISTCOMNUM" localSheetId="9">#REF!</definedName>
    <definedName name="LISTCOMNUM">#REF!</definedName>
    <definedName name="LISTPERIOD" localSheetId="12">#REF!</definedName>
    <definedName name="LISTPERIOD" localSheetId="9">#REF!</definedName>
    <definedName name="LISTPERIOD">#REF!</definedName>
    <definedName name="LISTPERIODNAME" localSheetId="12">#REF!</definedName>
    <definedName name="LISTPERIODNAME" localSheetId="9">#REF!</definedName>
    <definedName name="LISTPERIODNAME">#REF!</definedName>
    <definedName name="LISTPERIODNUM" localSheetId="12">#REF!</definedName>
    <definedName name="LISTPERIODNUM" localSheetId="9">#REF!</definedName>
    <definedName name="LISTPERIODNUM">#REF!</definedName>
    <definedName name="LISTPREMONPERIODNAME" localSheetId="12">#REF!</definedName>
    <definedName name="LISTPREMONPERIODNAME" localSheetId="9">#REF!</definedName>
    <definedName name="LISTPREMONPERIODNAME">#REF!</definedName>
    <definedName name="LISTPREMONPERIODNUM" localSheetId="12">#REF!</definedName>
    <definedName name="LISTPREMONPERIODNUM" localSheetId="9">#REF!</definedName>
    <definedName name="LISTPREMONPERIODNUM">#REF!</definedName>
    <definedName name="LISTPREPERIODNAME" localSheetId="12">#REF!</definedName>
    <definedName name="LISTPREPERIODNAME" localSheetId="9">#REF!</definedName>
    <definedName name="LISTPREPERIODNAME">#REF!</definedName>
    <definedName name="LISTPREPERIODNUM" localSheetId="12">#REF!</definedName>
    <definedName name="LISTPREPERIODNUM" localSheetId="9">#REF!</definedName>
    <definedName name="LISTPREPERIODNUM">#REF!</definedName>
    <definedName name="listText">"list"</definedName>
    <definedName name="LISTVER" localSheetId="12">#REF!</definedName>
    <definedName name="LISTVER" localSheetId="9">#REF!</definedName>
    <definedName name="LISTVER">#REF!</definedName>
    <definedName name="LISTVERNAME" localSheetId="12">#REF!</definedName>
    <definedName name="LISTVERNAME" localSheetId="9">#REF!</definedName>
    <definedName name="LISTVERNAME">#REF!</definedName>
    <definedName name="LISTVERNUM" localSheetId="12">#REF!</definedName>
    <definedName name="LISTVERNUM" localSheetId="9">#REF!</definedName>
    <definedName name="LISTVERNUM">#REF!</definedName>
    <definedName name="LIT_K" localSheetId="12">[19]Rate!#REF!</definedName>
    <definedName name="LIT_K" localSheetId="9">[19]Rate!#REF!</definedName>
    <definedName name="LIT_K">[19]Rate!#REF!</definedName>
    <definedName name="lp" localSheetId="12">#REF!</definedName>
    <definedName name="lp" localSheetId="5">#REF!</definedName>
    <definedName name="lp" localSheetId="9">#REF!</definedName>
    <definedName name="lp">#REF!</definedName>
    <definedName name="lts" localSheetId="12">#REF!</definedName>
    <definedName name="lts" localSheetId="9">#REF!</definedName>
    <definedName name="lts">#REF!</definedName>
    <definedName name="ltv" localSheetId="12">#REF!</definedName>
    <definedName name="ltv" localSheetId="9">#REF!</definedName>
    <definedName name="ltv">#REF!</definedName>
    <definedName name="m" localSheetId="5">[9]CL1!$H$3:$IV$3</definedName>
    <definedName name="M">[14]RATE!$D$16</definedName>
    <definedName name="maturity" localSheetId="12">#REF!</definedName>
    <definedName name="maturity" localSheetId="9">#REF!</definedName>
    <definedName name="maturity">#REF!</definedName>
    <definedName name="mc" localSheetId="12">#REF!</definedName>
    <definedName name="mc" localSheetId="5">[9]CL1!$H$7:$IV$7</definedName>
    <definedName name="mc" localSheetId="9">#REF!</definedName>
    <definedName name="mc">#REF!</definedName>
    <definedName name="me" localSheetId="8" hidden="1">{#N/A,#N/A,FALSE,"Bare Battery F.G."}</definedName>
    <definedName name="me" localSheetId="12" hidden="1">{#N/A,#N/A,FALSE,"Bare Battery F.G."}</definedName>
    <definedName name="me" localSheetId="2" hidden="1">{#N/A,#N/A,FALSE,"Bare Battery F.G."}</definedName>
    <definedName name="me" localSheetId="5" hidden="1">{#N/A,#N/A,FALSE,"Bare Battery F.G."}</definedName>
    <definedName name="me" localSheetId="9" hidden="1">{#N/A,#N/A,FALSE,"Bare Battery F.G."}</definedName>
    <definedName name="me" localSheetId="10" hidden="1">{#N/A,#N/A,FALSE,"Bare Battery F.G."}</definedName>
    <definedName name="me" localSheetId="4" hidden="1">{#N/A,#N/A,FALSE,"Bare Battery F.G."}</definedName>
    <definedName name="me" hidden="1">{#N/A,#N/A,FALSE,"Bare Battery F.G."}</definedName>
    <definedName name="MmExcelLinker_F7AA80C6_C142_4A29_9DB9_EF46B383B1F1" localSheetId="12">#REF!</definedName>
    <definedName name="MmExcelLinker_F7AA80C6_C142_4A29_9DB9_EF46B383B1F1" localSheetId="9">#REF!</definedName>
    <definedName name="MmExcelLinker_F7AA80C6_C142_4A29_9DB9_EF46B383B1F1">#REF!</definedName>
    <definedName name="model">[8]Design_M6S!$B$1</definedName>
    <definedName name="MonthLineIE" localSheetId="12">#REF!</definedName>
    <definedName name="MonthLineIE" localSheetId="5">#REF!</definedName>
    <definedName name="MonthLineIE" localSheetId="9">#REF!</definedName>
    <definedName name="MonthLineIE">#REF!</definedName>
    <definedName name="MonthLineME" localSheetId="12">#REF!</definedName>
    <definedName name="MonthLineME" localSheetId="2">#REF!</definedName>
    <definedName name="MonthLineME" localSheetId="9">#REF!</definedName>
    <definedName name="MonthLineME">#REF!</definedName>
    <definedName name="MonthLinePE" localSheetId="12">[5]pe!$N$1:$N$65536</definedName>
    <definedName name="MonthLinePE" localSheetId="5">[5]pe!$N$1:$N$65536</definedName>
    <definedName name="MonthLinePE">[5]pe!$N:$N</definedName>
    <definedName name="mp" localSheetId="8">{#N/A,#N/A,FALSE,"Bare Battery F.G."}</definedName>
    <definedName name="mp" localSheetId="12">{#N/A,#N/A,FALSE,"Bare Battery F.G."}</definedName>
    <definedName name="mp" localSheetId="2">{#N/A,#N/A,FALSE,"Bare Battery F.G."}</definedName>
    <definedName name="mp" localSheetId="5">{#N/A,#N/A,FALSE,"Bare Battery F.G."}</definedName>
    <definedName name="mp" localSheetId="9">{#N/A,#N/A,FALSE,"Bare Battery F.G."}</definedName>
    <definedName name="mp" localSheetId="10">{#N/A,#N/A,FALSE,"Bare Battery F.G."}</definedName>
    <definedName name="mp" localSheetId="4">{#N/A,#N/A,FALSE,"Bare Battery F.G."}</definedName>
    <definedName name="mp">{#N/A,#N/A,FALSE,"Bare Battery F.G."}</definedName>
    <definedName name="N" localSheetId="12" hidden="1">{#N/A,#N/A,FALSE,"Bare Battery F.G."}</definedName>
    <definedName name="N" localSheetId="5" hidden="1">{#N/A,#N/A,FALSE,"Bare Battery F.G."}</definedName>
    <definedName name="n">{#N/A,#N/A,FALSE,"Bare Battery F.G."}</definedName>
    <definedName name="new" localSheetId="12">#REF!</definedName>
    <definedName name="new" localSheetId="9">#REF!</definedName>
    <definedName name="new">#REF!</definedName>
    <definedName name="NI" localSheetId="12" hidden="1">{#N/A,#N/A,FALSE,"Bare Battery F.G."}</definedName>
    <definedName name="NI" localSheetId="5" hidden="1">{#N/A,#N/A,FALSE,"Bare Battery F.G."}</definedName>
    <definedName name="NI" hidden="1">{#N/A,#N/A,FALSE,"Bare Battery F.G."}</definedName>
    <definedName name="Ni_Tab">"IF((B4*C4*D4)&gt;15000,""Ni 5*0.10mm"",IF((B4*C4*D4)&gt;5000,""Ni 4*0.08mm"",IF((B4*C4*D4)&gt;2500,""Ni 3*0.08mm"",""Ni 2*0.05mm"")))"</definedName>
    <definedName name="NN" localSheetId="12" hidden="1">{#N/A,#N/A,FALSE,"Bare Battery F.G."}</definedName>
    <definedName name="NN" hidden="1">{#N/A,#N/A,FALSE,"Bare Battery F.G."}</definedName>
    <definedName name="o" localSheetId="12" hidden="1">{#N/A,#N/A,FALSE,"Bare Battery F.G."}</definedName>
    <definedName name="o">{#N/A,#N/A,FALSE,"Bare Battery F.G."}</definedName>
    <definedName name="oi" localSheetId="12" hidden="1">{#N/A,#N/A,FALSE,"Bare Battery F.G."}</definedName>
    <definedName name="oi" hidden="1">{#N/A,#N/A,FALSE,"Bare Battery F.G."}</definedName>
    <definedName name="oo" localSheetId="12">#REF!</definedName>
    <definedName name="oo" localSheetId="9">#REF!</definedName>
    <definedName name="oo">#REF!</definedName>
    <definedName name="OPERATION" localSheetId="12">[18]model!OPERATION</definedName>
    <definedName name="OPERATION" localSheetId="9">[18]model!OPERATION</definedName>
    <definedName name="OPERATION">[18]model!OPERATION</definedName>
    <definedName name="opt">[7]Sheet2!$C$2:$C$529</definedName>
    <definedName name="OriginalData" localSheetId="12">OFFSET([25]Data!$A$2,0,0,COUNT([25]Data!$A$1:$A$65536),1)</definedName>
    <definedName name="OriginalData" localSheetId="5">OFFSET([25]Data!$A$2,0,0,COUNT([25]Data!$A$1:$A$65536),1)</definedName>
    <definedName name="OriginalData">OFFSET([25]Data!$A$2,0,0,COUNT([25]Data!$A:$A),1)</definedName>
    <definedName name="OwnerIE" localSheetId="12">#REF!</definedName>
    <definedName name="OwnerIE" localSheetId="2">#REF!</definedName>
    <definedName name="OwnerIE" localSheetId="9">#REF!</definedName>
    <definedName name="OwnerIE">#REF!</definedName>
    <definedName name="OwnerME" localSheetId="12">#REF!</definedName>
    <definedName name="OwnerME" localSheetId="2">#REF!</definedName>
    <definedName name="OwnerME" localSheetId="9">#REF!</definedName>
    <definedName name="OwnerME">#REF!</definedName>
    <definedName name="OwnerPE" localSheetId="12">[5]pe!$J$1:$J$65536</definedName>
    <definedName name="OwnerPE" localSheetId="5">[5]pe!$J$1:$J$65536</definedName>
    <definedName name="OwnerPE">[5]pe!$J:$J</definedName>
    <definedName name="P" localSheetId="8">{#N/A,#N/A,FALSE,"Bare Battery F.G."}</definedName>
    <definedName name="P" localSheetId="2">{#N/A,#N/A,FALSE,"Bare Battery F.G."}</definedName>
    <definedName name="p" localSheetId="5" hidden="1">{#N/A,#N/A,FALSE,"Bare Battery F.G."}</definedName>
    <definedName name="P" localSheetId="9">{#N/A,#N/A,FALSE,"Bare Battery F.G."}</definedName>
    <definedName name="P" localSheetId="10">{#N/A,#N/A,FALSE,"Bare Battery F.G."}</definedName>
    <definedName name="P" localSheetId="4">{#N/A,#N/A,FALSE,"Bare Battery F.G."}</definedName>
    <definedName name="P">{#N/A,#N/A,FALSE,"Bare Battery F.G."}</definedName>
    <definedName name="Part_No">[26]ISRDATA!$C$4</definedName>
    <definedName name="PERIOD" localSheetId="12">#REF!</definedName>
    <definedName name="PERIOD" localSheetId="9">#REF!</definedName>
    <definedName name="PERIOD">#REF!</definedName>
    <definedName name="PL72B" localSheetId="12">#REF!</definedName>
    <definedName name="PL72B" localSheetId="9">#REF!</definedName>
    <definedName name="PL72B">#REF!</definedName>
    <definedName name="PlotRange">[22]Sheet371!$D$1:$D$100</definedName>
    <definedName name="pocketlist">OFFSET('[27]Packing foil'!$C$10,,,COUNTA('[27]Packing foil'!$C$10:$C$50))</definedName>
    <definedName name="points" localSheetId="12">#REF!</definedName>
    <definedName name="points" localSheetId="9">#REF!</definedName>
    <definedName name="points">#REF!</definedName>
    <definedName name="PREMONPERIOD" localSheetId="12">#REF!</definedName>
    <definedName name="PREMONPERIOD" localSheetId="9">#REF!</definedName>
    <definedName name="PREMONPERIOD">#REF!</definedName>
    <definedName name="PREPERIOD" localSheetId="12">#REF!</definedName>
    <definedName name="PREPERIOD" localSheetId="9">#REF!</definedName>
    <definedName name="PREPERIOD">#REF!</definedName>
    <definedName name="_xlnm.Print_Area">#N/A</definedName>
    <definedName name="Print_Area_MI" localSheetId="12">#REF!</definedName>
    <definedName name="Print_Area_MI" localSheetId="5">#REF!</definedName>
    <definedName name="Print_Area_MI" localSheetId="9">#REF!</definedName>
    <definedName name="Print_Area_MI">#REF!</definedName>
    <definedName name="Print_Date">[26]ISRDATA!$H$5</definedName>
    <definedName name="_xlnm.Print_Titles" localSheetId="12">#REF!,#REF!</definedName>
    <definedName name="_xlnm.Print_Titles" localSheetId="9">#REF!,#REF!</definedName>
    <definedName name="_xlnm.Print_Titles">#REF!,#REF!</definedName>
    <definedName name="Print_Titles_MI" localSheetId="12">#REF!</definedName>
    <definedName name="Print_Titles_MI" localSheetId="9">#REF!</definedName>
    <definedName name="Print_Titles_MI">#REF!</definedName>
    <definedName name="prns" localSheetId="12">#REF!</definedName>
    <definedName name="prns" localSheetId="9">#REF!</definedName>
    <definedName name="prns">#REF!</definedName>
    <definedName name="prod" localSheetId="8">{#N/A,#N/A,FALSE,"Bare Battery F.G."}</definedName>
    <definedName name="prod" localSheetId="12">{#N/A,#N/A,FALSE,"Bare Battery F.G."}</definedName>
    <definedName name="prod" localSheetId="2">{#N/A,#N/A,FALSE,"Bare Battery F.G."}</definedName>
    <definedName name="prod" localSheetId="5">{#N/A,#N/A,FALSE,"Bare Battery F.G."}</definedName>
    <definedName name="prod" localSheetId="9">{#N/A,#N/A,FALSE,"Bare Battery F.G."}</definedName>
    <definedName name="prod" localSheetId="10">{#N/A,#N/A,FALSE,"Bare Battery F.G."}</definedName>
    <definedName name="prod" localSheetId="4">{#N/A,#N/A,FALSE,"Bare Battery F.G."}</definedName>
    <definedName name="prod">{#N/A,#N/A,FALSE,"Bare Battery F.G."}</definedName>
    <definedName name="prod1.">{#N/A,#N/A,FALSE,"Bare Battery F.G."}</definedName>
    <definedName name="prod2">{#N/A,#N/A,FALSE,"Bare Battery F.G."}</definedName>
    <definedName name="PROJECTCODE" localSheetId="12">#REF!</definedName>
    <definedName name="PROJECTCODE" localSheetId="5">#REF!</definedName>
    <definedName name="PROJECTCODE" localSheetId="9">#REF!</definedName>
    <definedName name="PROJECTCODE">#REF!</definedName>
    <definedName name="ProjectType" localSheetId="12">#REF!</definedName>
    <definedName name="ProjectType" localSheetId="2">#REF!</definedName>
    <definedName name="ProjectType" localSheetId="9">#REF!</definedName>
    <definedName name="ProjectType">#REF!</definedName>
    <definedName name="PTS" localSheetId="12">[19]Rate!#REF!</definedName>
    <definedName name="PTS" localSheetId="9">[19]Rate!#REF!</definedName>
    <definedName name="PTS">[19]Rate!#REF!</definedName>
    <definedName name="QA_Tech">[12]ISRDATA!$P$7</definedName>
    <definedName name="qq" localSheetId="12" hidden="1">{#N/A,#N/A,FALSE,"Bare Battery F.G."}</definedName>
    <definedName name="QQ" localSheetId="5" hidden="1">{#N/A,#N/A,FALSE,"Bare Battery F.G."}</definedName>
    <definedName name="qq" hidden="1">{#N/A,#N/A,FALSE,"Bare Battery F.G."}</definedName>
    <definedName name="qqqq" localSheetId="8">{#N/A,#N/A,FALSE,"Bare Battery F.G."}</definedName>
    <definedName name="qqqq" localSheetId="2">{#N/A,#N/A,FALSE,"Bare Battery F.G."}</definedName>
    <definedName name="qqqq" localSheetId="9">{#N/A,#N/A,FALSE,"Bare Battery F.G."}</definedName>
    <definedName name="qqqq" localSheetId="10">{#N/A,#N/A,FALSE,"Bare Battery F.G."}</definedName>
    <definedName name="qqqq" localSheetId="4">{#N/A,#N/A,FALSE,"Bare Battery F.G."}</definedName>
    <definedName name="qqqq">{#N/A,#N/A,FALSE,"Bare Battery F.G."}</definedName>
    <definedName name="R999999999" localSheetId="12">#REF!</definedName>
    <definedName name="R999999999" localSheetId="5">#REF!</definedName>
    <definedName name="R999999999" localSheetId="9">#REF!</definedName>
    <definedName name="R999999999">#REF!</definedName>
    <definedName name="rbar" localSheetId="12">#REF!</definedName>
    <definedName name="rbar" localSheetId="9">#REF!</definedName>
    <definedName name="rbar">#REF!</definedName>
    <definedName name="rbar1">'[20]125PIECE'!$O$10:$AM$10</definedName>
    <definedName name="RECOMNAME">[28]DEF!$C$4</definedName>
    <definedName name="RECUR">[28]DEF!$B$5</definedName>
    <definedName name="REPERNAME">[28]DEF!$C$2</definedName>
    <definedName name="report" localSheetId="12" hidden="1">{#N/A,#N/A,FALSE,"Bare Battery F.G."}</definedName>
    <definedName name="report" hidden="1">{#N/A,#N/A,FALSE,"Bare Battery F.G."}</definedName>
    <definedName name="Restruction" localSheetId="12">#REF!,#REF!</definedName>
    <definedName name="Restruction" localSheetId="9">#REF!,#REF!</definedName>
    <definedName name="Restruction">#REF!,#REF!</definedName>
    <definedName name="Revision_Level">[26]ISRDATA!$K$5</definedName>
    <definedName name="rrr" localSheetId="12" hidden="1">{#N/A,#N/A,FALSE,"Bare Battery F.G."}</definedName>
    <definedName name="rrr" hidden="1">{#N/A,#N/A,FALSE,"Bare Battery F.G."}</definedName>
    <definedName name="s" localSheetId="5" hidden="1">{#N/A,#N/A,FALSE,"Bare Battery F.G."}</definedName>
    <definedName name="S">[14]RATE!$D$15</definedName>
    <definedName name="sadfaf" localSheetId="12">#REF!</definedName>
    <definedName name="sadfaf" localSheetId="9">#REF!</definedName>
    <definedName name="sadfaf">#REF!</definedName>
    <definedName name="sdd" localSheetId="8" hidden="1">{#N/A,#N/A,FALSE,"Bare Battery F.G."}</definedName>
    <definedName name="sdd" localSheetId="12" hidden="1">{#N/A,#N/A,FALSE,"Bare Battery F.G."}</definedName>
    <definedName name="sdd" localSheetId="2" hidden="1">{#N/A,#N/A,FALSE,"Bare Battery F.G."}</definedName>
    <definedName name="sdd" localSheetId="5" hidden="1">{#N/A,#N/A,FALSE,"Bare Battery F.G."}</definedName>
    <definedName name="sdd" localSheetId="9" hidden="1">{#N/A,#N/A,FALSE,"Bare Battery F.G."}</definedName>
    <definedName name="sdd" localSheetId="10" hidden="1">{#N/A,#N/A,FALSE,"Bare Battery F.G."}</definedName>
    <definedName name="sdd" localSheetId="4" hidden="1">{#N/A,#N/A,FALSE,"Bare Battery F.G."}</definedName>
    <definedName name="sdd" hidden="1">{#N/A,#N/A,FALSE,"Bare Battery F.G."}</definedName>
    <definedName name="separatorlist">OFFSET([27]Separator!$C$10,,,COUNTA([27]Separator!$C$10:$C$59))</definedName>
    <definedName name="Sheet" localSheetId="12" hidden="1">{#N/A,#N/A,FALSE,"Bare Battery F.G."}</definedName>
    <definedName name="sheet" localSheetId="5" hidden="1">{#N/A,#N/A,FALSE,"Bare Battery F.G."}</definedName>
    <definedName name="Sheet" hidden="1">{#N/A,#N/A,FALSE,"Bare Battery F.G."}</definedName>
    <definedName name="sheet1" localSheetId="12" hidden="1">{#N/A,#N/A,FALSE,"Bare Battery F.G."}</definedName>
    <definedName name="sheet1" hidden="1">{#N/A,#N/A,FALSE,"Bare Battery F.G."}</definedName>
    <definedName name="SHO" localSheetId="12" hidden="1">{#N/A,#N/A,FALSE,"Bare Battery F.G."}</definedName>
    <definedName name="SHO" localSheetId="5" hidden="1">{#N/A,#N/A,FALSE,"Bare Battery F.G."}</definedName>
    <definedName name="SHO" hidden="1">{#N/A,#N/A,FALSE,"Bare Battery F.G."}</definedName>
    <definedName name="SHORT" localSheetId="12" hidden="1">{#N/A,#N/A,FALSE,"Bare Battery F.G."}</definedName>
    <definedName name="SHORT" localSheetId="5" hidden="1">{#N/A,#N/A,FALSE,"Bare Battery F.G."}</definedName>
    <definedName name="SHORT" hidden="1">{#N/A,#N/A,FALSE,"Bare Battery F.G."}</definedName>
    <definedName name="SK" localSheetId="8">#N/A</definedName>
    <definedName name="SK">#N/A</definedName>
    <definedName name="SS" hidden="1">{#N/A,#N/A,FALSE,"Bare Battery F.G."}</definedName>
    <definedName name="sse" localSheetId="8" hidden="1">{#N/A,#N/A,FALSE,"Bare Battery F.G."}</definedName>
    <definedName name="sse" localSheetId="12" hidden="1">{#N/A,#N/A,FALSE,"Bare Battery F.G."}</definedName>
    <definedName name="sse" localSheetId="2" hidden="1">{#N/A,#N/A,FALSE,"Bare Battery F.G."}</definedName>
    <definedName name="sse" localSheetId="5" hidden="1">{#N/A,#N/A,FALSE,"Bare Battery F.G."}</definedName>
    <definedName name="sse" localSheetId="9" hidden="1">{#N/A,#N/A,FALSE,"Bare Battery F.G."}</definedName>
    <definedName name="sse" localSheetId="10" hidden="1">{#N/A,#N/A,FALSE,"Bare Battery F.G."}</definedName>
    <definedName name="sse" localSheetId="4" hidden="1">{#N/A,#N/A,FALSE,"Bare Battery F.G."}</definedName>
    <definedName name="sse" hidden="1">{#N/A,#N/A,FALSE,"Bare Battery F.G."}</definedName>
    <definedName name="SSLIE" localSheetId="12" hidden="1">{#N/A,#N/A,FALSE,"Bare Battery F.G."}</definedName>
    <definedName name="SSLIE" hidden="1">{#N/A,#N/A,FALSE,"Bare Battery F.G."}</definedName>
    <definedName name="SSLO" localSheetId="8" hidden="1">{#N/A,#N/A,FALSE,"Bare Battery F.G."}</definedName>
    <definedName name="SSLO" localSheetId="12" hidden="1">{#N/A,#N/A,FALSE,"Bare Battery F.G."}</definedName>
    <definedName name="SSLO" localSheetId="2" hidden="1">{#N/A,#N/A,FALSE,"Bare Battery F.G."}</definedName>
    <definedName name="SSLO" localSheetId="5" hidden="1">{#N/A,#N/A,FALSE,"Bare Battery F.G."}</definedName>
    <definedName name="SSLO" localSheetId="9" hidden="1">{#N/A,#N/A,FALSE,"Bare Battery F.G."}</definedName>
    <definedName name="SSLO" localSheetId="10" hidden="1">{#N/A,#N/A,FALSE,"Bare Battery F.G."}</definedName>
    <definedName name="SSLO" localSheetId="4" hidden="1">{#N/A,#N/A,FALSE,"Bare Battery F.G."}</definedName>
    <definedName name="SSLO" hidden="1">{#N/A,#N/A,FALSE,"Bare Battery F.G."}</definedName>
    <definedName name="ST" hidden="1">{#N/A,#N/A,FALSE,"Bare Battery F.G."}</definedName>
    <definedName name="start" localSheetId="8">OFFSET('[29]EV Project Schedule Rev.01'!$F$9,1,,COUNTA('[29]EV Project Schedule Rev.01'!$F:$F)-1,)</definedName>
    <definedName name="start" localSheetId="12">OFFSET('[30]EV Project Schedule Rev.01'!$F$9,1,,COUNTA('[30]EV Project Schedule Rev.01'!$F$1:$F$65536)-1,)</definedName>
    <definedName name="start" localSheetId="5">OFFSET('[29]EV Project Schedule Rev.01'!$F$9,1,,COUNTA('[29]EV Project Schedule Rev.01'!$F$1:$F$65536)-1,)</definedName>
    <definedName name="start">OFFSET('[29]EV Project Schedule Rev.01'!$F$9,1,,COUNTA('[29]EV Project Schedule Rev.01'!$F:$F)-1,)</definedName>
    <definedName name="StatusIE" localSheetId="12">#REF!</definedName>
    <definedName name="StatusIE" localSheetId="2">#REF!</definedName>
    <definedName name="StatusIE" localSheetId="9">#REF!</definedName>
    <definedName name="StatusIE">#REF!</definedName>
    <definedName name="StatusME" localSheetId="12">#REF!</definedName>
    <definedName name="StatusME" localSheetId="2">#REF!</definedName>
    <definedName name="StatusME" localSheetId="9">#REF!</definedName>
    <definedName name="StatusME">#REF!</definedName>
    <definedName name="StatusPE" localSheetId="12">[5]pe!$M$1:$M$65536</definedName>
    <definedName name="StatusPE" localSheetId="5">[5]pe!$M$1:$M$65536</definedName>
    <definedName name="StatusPE">[5]pe!$M:$M</definedName>
    <definedName name="STG">[14]RATE!$D$9</definedName>
    <definedName name="STP" hidden="1">{#N/A,#N/A,FALSE,"Bare Battery F.G."}</definedName>
    <definedName name="sts" localSheetId="12">#REF!</definedName>
    <definedName name="sts" localSheetId="9">#REF!</definedName>
    <definedName name="sts">#REF!</definedName>
    <definedName name="Supplier_Code" localSheetId="12">#REF!</definedName>
    <definedName name="Supplier_Code" localSheetId="2">#REF!</definedName>
    <definedName name="Supplier_Code" localSheetId="5">#REF!</definedName>
    <definedName name="Supplier_Code" localSheetId="9">#REF!</definedName>
    <definedName name="Supplier_Code">#REF!</definedName>
    <definedName name="t" localSheetId="12">#REF!</definedName>
    <definedName name="T" localSheetId="5" hidden="1">{#N/A,#N/A,FALSE,"Bare Battery F.G."}</definedName>
    <definedName name="t" localSheetId="9">#REF!</definedName>
    <definedName name="t">#REF!</definedName>
    <definedName name="t.t.t" localSheetId="12" hidden="1">{"賃貸事例比較法",#N/A,FALSE,"Sheet2";"賃貸条件",#N/A,FALSE,"Sheet2"}</definedName>
    <definedName name="t.t.t" hidden="1">{"賃貸事例比較法",#N/A,FALSE,"Sheet2";"賃貸条件",#N/A,FALSE,"Sheet2"}</definedName>
    <definedName name="T_Borr" localSheetId="12">#REF!</definedName>
    <definedName name="T_Borr" localSheetId="9">#REF!</definedName>
    <definedName name="T_Borr">#REF!</definedName>
    <definedName name="T_Pay" localSheetId="12">#REF!</definedName>
    <definedName name="T_Pay" localSheetId="9">#REF!</definedName>
    <definedName name="T_Pay">#REF!</definedName>
    <definedName name="T0" localSheetId="12">#REF!</definedName>
    <definedName name="T0" localSheetId="9">#REF!</definedName>
    <definedName name="T0">#REF!</definedName>
    <definedName name="Table01" localSheetId="12">'[31]A1-4 Failure Impact '!#REF!</definedName>
    <definedName name="Table01" localSheetId="9">'[31]A1-4 Failure Impact '!#REF!</definedName>
    <definedName name="Table01">'[31]A1-4 Failure Impact '!#REF!</definedName>
    <definedName name="Tar" hidden="1">{#N/A,#N/A,FALSE,"Bare Battery F.G."}</definedName>
    <definedName name="temp" localSheetId="12">#REF!</definedName>
    <definedName name="temp" localSheetId="9">#REF!</definedName>
    <definedName name="temp">#REF!</definedName>
    <definedName name="temp1" localSheetId="12">#REF!</definedName>
    <definedName name="temp1" localSheetId="2">#REF!</definedName>
    <definedName name="temp1" localSheetId="5">#REF!</definedName>
    <definedName name="temp1" localSheetId="9">#REF!</definedName>
    <definedName name="temp1">#REF!</definedName>
    <definedName name="temp2" localSheetId="12">#REF!</definedName>
    <definedName name="temp2" localSheetId="9">#REF!</definedName>
    <definedName name="temp2">#REF!</definedName>
    <definedName name="tempRange" localSheetId="12">#REF!</definedName>
    <definedName name="tempRange" localSheetId="2">#REF!</definedName>
    <definedName name="tempRange" localSheetId="9">#REF!</definedName>
    <definedName name="tempRange">#REF!</definedName>
    <definedName name="test" localSheetId="12">#REF!</definedName>
    <definedName name="test" localSheetId="9">#REF!</definedName>
    <definedName name="test">#REF!</definedName>
    <definedName name="THB">[14]RATE!$D$17</definedName>
    <definedName name="TimeLineIE" localSheetId="12">#REF!</definedName>
    <definedName name="TimeLineIE" localSheetId="2">#REF!</definedName>
    <definedName name="TimeLineIE" localSheetId="5">#REF!</definedName>
    <definedName name="TimeLineIE" localSheetId="9">#REF!</definedName>
    <definedName name="TimeLineIE">#REF!</definedName>
    <definedName name="TimeLineME" localSheetId="12">#REF!</definedName>
    <definedName name="TimeLineME" localSheetId="2">#REF!</definedName>
    <definedName name="TimeLineME" localSheetId="9">#REF!</definedName>
    <definedName name="TimeLineME">#REF!</definedName>
    <definedName name="TimeLinePE" localSheetId="12">[5]pe!$K$1:$K$65536</definedName>
    <definedName name="TimeLinePE" localSheetId="5">[5]pe!$K$1:$K$65536</definedName>
    <definedName name="TimeLinePE">[5]pe!$K:$K</definedName>
    <definedName name="torihiki" localSheetId="12">#REF!</definedName>
    <definedName name="torihiki" localSheetId="9">#REF!</definedName>
    <definedName name="torihiki">#REF!</definedName>
    <definedName name="Trial" localSheetId="12">#REF!</definedName>
    <definedName name="Trial" localSheetId="2">#REF!</definedName>
    <definedName name="Trial" localSheetId="5">#REF!</definedName>
    <definedName name="Trial" localSheetId="9">#REF!</definedName>
    <definedName name="Trial">#REF!</definedName>
    <definedName name="trtt" localSheetId="12" hidden="1">{#N/A,#N/A,FALSE,"Bare Battery F.G."}</definedName>
    <definedName name="trtt" hidden="1">{#N/A,#N/A,FALSE,"Bare Battery F.G."}</definedName>
    <definedName name="tttttttttt" localSheetId="12" hidden="1">{#N/A,#N/A,FALSE,"Bare Battery F.G."}</definedName>
    <definedName name="tttttttttt" hidden="1">{#N/A,#N/A,FALSE,"Bare Battery F.G."}</definedName>
    <definedName name="type" localSheetId="12">#REF!</definedName>
    <definedName name="type" localSheetId="9">#REF!</definedName>
    <definedName name="type">#REF!</definedName>
    <definedName name="u" localSheetId="12" hidden="1">{#N/A,#N/A,FALSE,"Bare Battery F.G."}</definedName>
    <definedName name="u" hidden="1">{#N/A,#N/A,FALSE,"Bare Battery F.G."}</definedName>
    <definedName name="ujyggg" localSheetId="12">#REF!</definedName>
    <definedName name="ujyggg" localSheetId="9">#REF!</definedName>
    <definedName name="ujyggg">#REF!</definedName>
    <definedName name="US">[14]RATE!$D$4</definedName>
    <definedName name="UsersName">"UsersName"</definedName>
    <definedName name="VERSION" localSheetId="12">#REF!</definedName>
    <definedName name="VERSION" localSheetId="9">#REF!</definedName>
    <definedName name="VERSION">#REF!</definedName>
    <definedName name="w" localSheetId="12">#REF!</definedName>
    <definedName name="w" localSheetId="9">#REF!</definedName>
    <definedName name="w">#REF!</definedName>
    <definedName name="we" localSheetId="12" hidden="1">{#N/A,#N/A,FALSE,"Bare Battery F.G."}</definedName>
    <definedName name="we" localSheetId="5" hidden="1">{#N/A,#N/A,FALSE,"Bare Battery F.G."}</definedName>
    <definedName name="we" hidden="1">{#N/A,#N/A,FALSE,"Bare Battery F.G."}</definedName>
    <definedName name="WEEK" localSheetId="12">[18]model!OPERATION</definedName>
    <definedName name="WEEK" localSheetId="9">[18]model!OPERATION</definedName>
    <definedName name="WEEK">[18]model!OPERATION</definedName>
    <definedName name="welding" localSheetId="12" hidden="1">{#N/A,#N/A,FALSE,"Bare Battery F.G."}</definedName>
    <definedName name="welding" localSheetId="5" hidden="1">{#N/A,#N/A,FALSE,"Bare Battery F.G."}</definedName>
    <definedName name="welding" hidden="1">{#N/A,#N/A,FALSE,"Bare Battery F.G."}</definedName>
    <definedName name="wrm" localSheetId="8" hidden="1">{#N/A,#N/A,FALSE,"Bare Battery F.G."}</definedName>
    <definedName name="wrm" localSheetId="12" hidden="1">{#N/A,#N/A,FALSE,"Bare Battery F.G."}</definedName>
    <definedName name="wrm" localSheetId="2" hidden="1">{#N/A,#N/A,FALSE,"Bare Battery F.G."}</definedName>
    <definedName name="wrm" localSheetId="5" hidden="1">{#N/A,#N/A,FALSE,"Bare Battery F.G."}</definedName>
    <definedName name="wrm" localSheetId="9" hidden="1">{#N/A,#N/A,FALSE,"Bare Battery F.G."}</definedName>
    <definedName name="wrm" localSheetId="10" hidden="1">{#N/A,#N/A,FALSE,"Bare Battery F.G."}</definedName>
    <definedName name="wrm" localSheetId="4" hidden="1">{#N/A,#N/A,FALSE,"Bare Battery F.G."}</definedName>
    <definedName name="wrm" hidden="1">{#N/A,#N/A,FALSE,"Bare Battery F.G."}</definedName>
    <definedName name="wrn.report." localSheetId="8" hidden="1">{#N/A,#N/A,FALSE,"Bare Battery F.G."}</definedName>
    <definedName name="wrn.report." localSheetId="12" hidden="1">{#N/A,#N/A,FALSE,"Bare Battery F.G."}</definedName>
    <definedName name="wrn.report." localSheetId="2" hidden="1">{#N/A,#N/A,FALSE,"Bare Battery F.G."}</definedName>
    <definedName name="wrn.report." localSheetId="5" hidden="1">{#N/A,#N/A,FALSE,"Bare Battery F.G."}</definedName>
    <definedName name="wrn.report." localSheetId="9" hidden="1">{#N/A,#N/A,FALSE,"Bare Battery F.G."}</definedName>
    <definedName name="wrn.report." localSheetId="10" hidden="1">{#N/A,#N/A,FALSE,"Bare Battery F.G."}</definedName>
    <definedName name="wrn.report." localSheetId="4" hidden="1">{#N/A,#N/A,FALSE,"Bare Battery F.G."}</definedName>
    <definedName name="wrn.report." hidden="1">{#N/A,#N/A,FALSE,"Bare Battery F.G."}</definedName>
    <definedName name="wrn.report1" hidden="1">{#N/A,#N/A,FALSE,"Bare Battery F.G."}</definedName>
    <definedName name="wrn.テスト." localSheetId="12" hidden="1">{"賃貸事例比較法",#N/A,FALSE,"Sheet2";"賃貸条件",#N/A,FALSE,"Sheet2"}</definedName>
    <definedName name="wrn.テスト." hidden="1">{"賃貸事例比較法",#N/A,FALSE,"Sheet2";"賃貸条件",#N/A,FALSE,"Sheet2"}</definedName>
    <definedName name="WRNL1" localSheetId="12" hidden="1">{#N/A,#N/A,FALSE,"Bare Battery F.G."}</definedName>
    <definedName name="WRNL1" localSheetId="5" hidden="1">{#N/A,#N/A,FALSE,"Bare Battery F.G."}</definedName>
    <definedName name="WRNL1" hidden="1">{#N/A,#N/A,FALSE,"Bare Battery F.G."}</definedName>
    <definedName name="WRNL2" localSheetId="12" hidden="1">{#N/A,#N/A,FALSE,"Bare Battery F.G."}</definedName>
    <definedName name="WRNL2" localSheetId="5" hidden="1">{#N/A,#N/A,FALSE,"Bare Battery F.G."}</definedName>
    <definedName name="WRNL2" hidden="1">{#N/A,#N/A,FALSE,"Bare Battery F.G."}</definedName>
    <definedName name="ww" localSheetId="12" hidden="1">{#N/A,#N/A,FALSE,"Bare Battery F.G."}</definedName>
    <definedName name="ww" hidden="1">{#N/A,#N/A,FALSE,"Bare Battery F.G."}</definedName>
    <definedName name="www" localSheetId="12" hidden="1">{#N/A,#N/A,FALSE,"Bare Battery F.G."}</definedName>
    <definedName name="www" hidden="1">{#N/A,#N/A,FALSE,"Bare Battery F.G."}</definedName>
    <definedName name="wwww" localSheetId="12" hidden="1">{#N/A,#N/A,FALSE,"Bare Battery F.G."}</definedName>
    <definedName name="wwww" hidden="1">{#N/A,#N/A,FALSE,"Bare Battery F.G."}</definedName>
    <definedName name="XBAR" localSheetId="12">#REF!</definedName>
    <definedName name="XBAR" localSheetId="9">#REF!</definedName>
    <definedName name="XBAR">#REF!</definedName>
    <definedName name="xdf" localSheetId="8" hidden="1">{#N/A,#N/A,FALSE,"Bare Battery F.G."}</definedName>
    <definedName name="xdf" localSheetId="12" hidden="1">{#N/A,#N/A,FALSE,"Bare Battery F.G."}</definedName>
    <definedName name="xdf" localSheetId="2" hidden="1">{#N/A,#N/A,FALSE,"Bare Battery F.G."}</definedName>
    <definedName name="xdf" localSheetId="5" hidden="1">{#N/A,#N/A,FALSE,"Bare Battery F.G."}</definedName>
    <definedName name="xdf" localSheetId="9" hidden="1">{#N/A,#N/A,FALSE,"Bare Battery F.G."}</definedName>
    <definedName name="xdf" localSheetId="10" hidden="1">{#N/A,#N/A,FALSE,"Bare Battery F.G."}</definedName>
    <definedName name="xdf" localSheetId="4" hidden="1">{#N/A,#N/A,FALSE,"Bare Battery F.G."}</definedName>
    <definedName name="xdf" hidden="1">{#N/A,#N/A,FALSE,"Bare Battery F.G."}</definedName>
    <definedName name="xiaht" localSheetId="8">OFFSET(BOM!start,,4,)</definedName>
    <definedName name="xiaht" localSheetId="12">OFFSET('Cell Weight'!start,,4,)</definedName>
    <definedName name="xiaht" localSheetId="2">OFFSET(start,,4,)</definedName>
    <definedName name="xiaht" localSheetId="5">OFFSET(材料数据库!start,,4,)</definedName>
    <definedName name="xiaht" localSheetId="9">OFFSET([0]!start,,4,)</definedName>
    <definedName name="xiaht" localSheetId="10">OFFSET(start,,4,)</definedName>
    <definedName name="xiaht" localSheetId="4">OFFSET(start,,4,)</definedName>
    <definedName name="xiaht">OFFSET(start,,4,)</definedName>
    <definedName name="yearlydiscount" localSheetId="12">#REF!</definedName>
    <definedName name="yearlydiscount" localSheetId="9">#REF!</definedName>
    <definedName name="yearlydiscount">#REF!</definedName>
    <definedName name="yield" localSheetId="12">{#N/A,#N/A,FALSE,"Bare Battery F.G."}</definedName>
    <definedName name="yield" localSheetId="5">{#N/A,#N/A,FALSE,"Bare Battery F.G."}</definedName>
    <definedName name="yield">{#N/A,#N/A,FALSE,"Bare Battery F.G."}</definedName>
    <definedName name="YIELS" localSheetId="12">{#N/A,#N/A,FALSE,"Bare Battery F.G."}</definedName>
    <definedName name="YIELS" localSheetId="5">{#N/A,#N/A,FALSE,"Bare Battery F.G."}</definedName>
    <definedName name="YIELS">{#N/A,#N/A,FALSE,"Bare Battery F.G."}</definedName>
    <definedName name="YU" localSheetId="2">OFFSET([0]!start,,7,)</definedName>
    <definedName name="YU" localSheetId="9">OFFSET([0]!start,,7,)</definedName>
    <definedName name="YU" localSheetId="10">OFFSET([0]!start,,7,)</definedName>
    <definedName name="YU" localSheetId="4">OFFSET([0]!start,,7,)</definedName>
    <definedName name="YU">OFFSET([0]!start,,7,)</definedName>
    <definedName name="ZR" localSheetId="12">[18]model!OPERATION</definedName>
    <definedName name="ZR" localSheetId="9">[18]model!OPERATION</definedName>
    <definedName name="ZR">[18]model!OPERATION</definedName>
    <definedName name="あ">[32]DEF!$C$2</definedName>
    <definedName name="クエリー1" localSheetId="12">#REF!</definedName>
    <definedName name="クエリー1" localSheetId="9">#REF!</definedName>
    <definedName name="クエリー1">#REF!</definedName>
    <definedName name="コスガ" localSheetId="12" hidden="1">{"賃貸事例比較法",#N/A,FALSE,"Sheet2";"賃貸条件",#N/A,FALSE,"Sheet2"}</definedName>
    <definedName name="コスガ" hidden="1">{"賃貸事例比較法",#N/A,FALSE,"Sheet2";"賃貸条件",#N/A,FALSE,"Sheet2"}</definedName>
    <definedName name="シナリオ" localSheetId="12">#REF!</definedName>
    <definedName name="シナリオ" localSheetId="9">#REF!</definedName>
    <definedName name="シナリオ">#REF!</definedName>
    <definedName name="按时的" localSheetId="8">{#N/A,#N/A,FALSE,"Bare Battery F.G."}</definedName>
    <definedName name="按时的" localSheetId="12">{#N/A,#N/A,FALSE,"Bare Battery F.G."}</definedName>
    <definedName name="按时的" localSheetId="2">{#N/A,#N/A,FALSE,"Bare Battery F.G."}</definedName>
    <definedName name="按时的" localSheetId="5">{#N/A,#N/A,FALSE,"Bare Battery F.G."}</definedName>
    <definedName name="按时的" localSheetId="9">{#N/A,#N/A,FALSE,"Bare Battery F.G."}</definedName>
    <definedName name="按时的" localSheetId="10">{#N/A,#N/A,FALSE,"Bare Battery F.G."}</definedName>
    <definedName name="按时的" localSheetId="4">{#N/A,#N/A,FALSE,"Bare Battery F.G."}</definedName>
    <definedName name="按时的">{#N/A,#N/A,FALSE,"Bare Battery F.G."}</definedName>
    <definedName name="按时的完全" localSheetId="8" hidden="1">{#N/A,#N/A,FALSE,"Bare Battery F.G."}</definedName>
    <definedName name="按时的完全" localSheetId="12" hidden="1">{#N/A,#N/A,FALSE,"Bare Battery F.G."}</definedName>
    <definedName name="按时的完全" localSheetId="2" hidden="1">{#N/A,#N/A,FALSE,"Bare Battery F.G."}</definedName>
    <definedName name="按时的完全" localSheetId="5" hidden="1">{#N/A,#N/A,FALSE,"Bare Battery F.G."}</definedName>
    <definedName name="按时的完全" localSheetId="9" hidden="1">{#N/A,#N/A,FALSE,"Bare Battery F.G."}</definedName>
    <definedName name="按时的完全" localSheetId="10" hidden="1">{#N/A,#N/A,FALSE,"Bare Battery F.G."}</definedName>
    <definedName name="按时的完全" localSheetId="4" hidden="1">{#N/A,#N/A,FALSE,"Bare Battery F.G."}</definedName>
    <definedName name="按时的完全" hidden="1">{#N/A,#N/A,FALSE,"Bare Battery F.G."}</definedName>
    <definedName name="泵地\" localSheetId="12" hidden="1">{#N/A,#N/A,FALSE,"Bare Battery F.G."}</definedName>
    <definedName name="泵地\" hidden="1">{#N/A,#N/A,FALSE,"Bare Battery F.G."}</definedName>
    <definedName name="超声波焊接" localSheetId="12" hidden="1">{#N/A,#N/A,FALSE,"Bare Battery F.G."}</definedName>
    <definedName name="超声波焊接" localSheetId="5" hidden="1">{#N/A,#N/A,FALSE,"Bare Battery F.G."}</definedName>
    <definedName name="超声波焊接" hidden="1">{#N/A,#N/A,FALSE,"Bare Battery F.G."}</definedName>
    <definedName name="地裁" localSheetId="12">#REF!</definedName>
    <definedName name="地裁" localSheetId="9">#REF!</definedName>
    <definedName name="地裁">#REF!</definedName>
    <definedName name="地裁英語" localSheetId="12">#REF!</definedName>
    <definedName name="地裁英語" localSheetId="9">#REF!</definedName>
    <definedName name="地裁英語">#REF!</definedName>
    <definedName name="否">设计主界面!$O$15</definedName>
    <definedName name="焊接" localSheetId="12" hidden="1">{#N/A,#N/A,FALSE,"Bare Battery F.G."}</definedName>
    <definedName name="焊接" localSheetId="5" hidden="1">{#N/A,#N/A,FALSE,"Bare Battery F.G."}</definedName>
    <definedName name="焊接" hidden="1">{#N/A,#N/A,FALSE,"Bare Battery F.G."}</definedName>
    <definedName name="核算项目" localSheetId="12">#REF!</definedName>
    <definedName name="核算项目" localSheetId="5">#REF!</definedName>
    <definedName name="核算项目" localSheetId="9">#REF!</definedName>
    <definedName name="核算项目">#REF!</definedName>
    <definedName name="汇率" localSheetId="12">#REF!</definedName>
    <definedName name="汇率" localSheetId="2">#REF!</definedName>
    <definedName name="汇率" localSheetId="9">#REF!</definedName>
    <definedName name="汇率">#REF!</definedName>
    <definedName name="建築費テーブル" localSheetId="12">#REF!</definedName>
    <definedName name="建築費テーブル" localSheetId="9">#REF!</definedName>
    <definedName name="建築費テーブル">#REF!</definedName>
    <definedName name="结存" localSheetId="12">#REF!</definedName>
    <definedName name="结存" localSheetId="2">#REF!</definedName>
    <definedName name="结存" localSheetId="9">#REF!</definedName>
    <definedName name="结存">#REF!</definedName>
    <definedName name="競売サイクル" localSheetId="12">#REF!</definedName>
    <definedName name="競売サイクル" localSheetId="9">#REF!</definedName>
    <definedName name="競売サイクル">#REF!</definedName>
    <definedName name="绝缘电阻测试3" localSheetId="12">#REF!</definedName>
    <definedName name="绝缘电阻测试3" localSheetId="2">#REF!</definedName>
    <definedName name="绝缘电阻测试3" localSheetId="9">#REF!</definedName>
    <definedName name="绝缘电阻测试3">#REF!</definedName>
    <definedName name="開札期間" localSheetId="12">#REF!</definedName>
    <definedName name="開札期間" localSheetId="9">#REF!</definedName>
    <definedName name="開札期間">#REF!</definedName>
    <definedName name="科目" localSheetId="12">#REF!</definedName>
    <definedName name="科目" localSheetId="2">#REF!</definedName>
    <definedName name="科目" localSheetId="9">#REF!</definedName>
    <definedName name="科目">#REF!</definedName>
    <definedName name="利息１" localSheetId="12">#REF!</definedName>
    <definedName name="利息１" localSheetId="9">#REF!</definedName>
    <definedName name="利息１">#REF!</definedName>
    <definedName name="利息２" localSheetId="12">#REF!</definedName>
    <definedName name="利息２" localSheetId="9">#REF!</definedName>
    <definedName name="利息２">#REF!</definedName>
    <definedName name="全社販管計">SUM([33]S_H:Y_H!A1)</definedName>
    <definedName name="人員Data2000_06_01" localSheetId="12">#REF!</definedName>
    <definedName name="人員Data2000_06_01" localSheetId="9">#REF!</definedName>
    <definedName name="人員Data2000_06_01">#REF!</definedName>
    <definedName name="人員Data2000_06_16" localSheetId="12">#REF!</definedName>
    <definedName name="人員Data2000_06_16" localSheetId="9">#REF!</definedName>
    <definedName name="人員Data2000_06_16">#REF!</definedName>
    <definedName name="人員Data2001_11_16" localSheetId="12">'[34]７４期定年到達者'!#REF!</definedName>
    <definedName name="人員Data2001_11_16" localSheetId="9">'[34]７４期定年到達者'!#REF!</definedName>
    <definedName name="人員Data2001_11_16">'[34]７４期定年到達者'!#REF!</definedName>
    <definedName name="人員Data98_02_28" localSheetId="12">#REF!</definedName>
    <definedName name="人員Data98_02_28" localSheetId="9">#REF!</definedName>
    <definedName name="人員Data98_02_28">#REF!</definedName>
    <definedName name="人員Data98_03_01" localSheetId="12">#REF!</definedName>
    <definedName name="人員Data98_03_01" localSheetId="9">#REF!</definedName>
    <definedName name="人員Data98_03_01">#REF!</definedName>
    <definedName name="人員Data98_03_31" localSheetId="12">#REF!</definedName>
    <definedName name="人員Data98_03_31" localSheetId="9">#REF!</definedName>
    <definedName name="人員Data98_03_31">#REF!</definedName>
    <definedName name="人員Data98_05_31" localSheetId="12">#REF!</definedName>
    <definedName name="人員Data98_05_31" localSheetId="9">#REF!</definedName>
    <definedName name="人員Data98_05_31">#REF!</definedName>
    <definedName name="人員Data98_06_01" localSheetId="12">#REF!</definedName>
    <definedName name="人員Data98_06_01" localSheetId="9">#REF!</definedName>
    <definedName name="人員Data98_06_01">#REF!</definedName>
    <definedName name="人員Data98_06_30" localSheetId="12">#REF!</definedName>
    <definedName name="人員Data98_06_30" localSheetId="9">#REF!</definedName>
    <definedName name="人員Data98_06_30">#REF!</definedName>
    <definedName name="人員Data98_09_30" localSheetId="12">#REF!</definedName>
    <definedName name="人員Data98_09_30" localSheetId="9">#REF!</definedName>
    <definedName name="人員Data98_09_30">#REF!</definedName>
    <definedName name="人員Data98_10_01" localSheetId="12">#REF!</definedName>
    <definedName name="人員Data98_10_01" localSheetId="9">#REF!</definedName>
    <definedName name="人員Data98_10_01">#REF!</definedName>
    <definedName name="人員Data98_10_31" localSheetId="12">#REF!</definedName>
    <definedName name="人員Data98_10_31" localSheetId="9">#REF!</definedName>
    <definedName name="人員Data98_10_31">#REF!</definedName>
    <definedName name="入壳坏品" localSheetId="12">#REF!</definedName>
    <definedName name="入壳坏品" localSheetId="2">#REF!</definedName>
    <definedName name="入壳坏品" localSheetId="9">#REF!</definedName>
    <definedName name="入壳坏品">#REF!</definedName>
    <definedName name="生产列1" localSheetId="12">#REF!</definedName>
    <definedName name="生产列1" localSheetId="2">#REF!</definedName>
    <definedName name="生产列1" localSheetId="9">#REF!</definedName>
    <definedName name="生产列1">#REF!</definedName>
    <definedName name="生产列11" localSheetId="12">#REF!</definedName>
    <definedName name="生产列11" localSheetId="2">#REF!</definedName>
    <definedName name="生产列11" localSheetId="9">#REF!</definedName>
    <definedName name="生产列11">#REF!</definedName>
    <definedName name="生产列15" localSheetId="12">#REF!</definedName>
    <definedName name="生产列15" localSheetId="2">#REF!</definedName>
    <definedName name="生产列15" localSheetId="9">#REF!</definedName>
    <definedName name="生产列15">#REF!</definedName>
    <definedName name="生产列16" localSheetId="12">#REF!</definedName>
    <definedName name="生产列16" localSheetId="2">#REF!</definedName>
    <definedName name="生产列16" localSheetId="9">#REF!</definedName>
    <definedName name="生产列16">#REF!</definedName>
    <definedName name="生产列17" localSheetId="12">#REF!</definedName>
    <definedName name="生产列17" localSheetId="2">#REF!</definedName>
    <definedName name="生产列17" localSheetId="9">#REF!</definedName>
    <definedName name="生产列17">#REF!</definedName>
    <definedName name="生产列19" localSheetId="12">#REF!</definedName>
    <definedName name="生产列19" localSheetId="2">#REF!</definedName>
    <definedName name="生产列19" localSheetId="9">#REF!</definedName>
    <definedName name="生产列19">#REF!</definedName>
    <definedName name="生产列2" localSheetId="12">#REF!</definedName>
    <definedName name="生产列2" localSheetId="2">#REF!</definedName>
    <definedName name="生产列2" localSheetId="9">#REF!</definedName>
    <definedName name="生产列2">#REF!</definedName>
    <definedName name="生产列20" localSheetId="12">#REF!</definedName>
    <definedName name="生产列20" localSheetId="2">#REF!</definedName>
    <definedName name="生产列20" localSheetId="9">#REF!</definedName>
    <definedName name="生产列20">#REF!</definedName>
    <definedName name="生产列3" localSheetId="12">#REF!</definedName>
    <definedName name="生产列3" localSheetId="2">#REF!</definedName>
    <definedName name="生产列3" localSheetId="9">#REF!</definedName>
    <definedName name="生产列3">#REF!</definedName>
    <definedName name="生产列4" localSheetId="12">#REF!</definedName>
    <definedName name="生产列4" localSheetId="2">#REF!</definedName>
    <definedName name="生产列4" localSheetId="9">#REF!</definedName>
    <definedName name="生产列4">#REF!</definedName>
    <definedName name="生产列5" localSheetId="12">#REF!</definedName>
    <definedName name="生产列5" localSheetId="2">#REF!</definedName>
    <definedName name="生产列5" localSheetId="9">#REF!</definedName>
    <definedName name="生产列5">#REF!</definedName>
    <definedName name="生产列6" localSheetId="12">#REF!</definedName>
    <definedName name="生产列6" localSheetId="2">#REF!</definedName>
    <definedName name="生产列6" localSheetId="9">#REF!</definedName>
    <definedName name="生产列6">#REF!</definedName>
    <definedName name="生产列7" localSheetId="12">#REF!</definedName>
    <definedName name="生产列7" localSheetId="2">#REF!</definedName>
    <definedName name="生产列7" localSheetId="9">#REF!</definedName>
    <definedName name="生产列7">#REF!</definedName>
    <definedName name="生产列8" localSheetId="12">#REF!</definedName>
    <definedName name="生产列8" localSheetId="2">#REF!</definedName>
    <definedName name="生产列8" localSheetId="9">#REF!</definedName>
    <definedName name="生产列8">#REF!</definedName>
    <definedName name="生产列9" localSheetId="12">#REF!</definedName>
    <definedName name="生产列9" localSheetId="2">#REF!</definedName>
    <definedName name="生产列9" localSheetId="9">#REF!</definedName>
    <definedName name="生产列9">#REF!</definedName>
    <definedName name="生产期" localSheetId="12">#REF!</definedName>
    <definedName name="生产期" localSheetId="2">#REF!</definedName>
    <definedName name="生产期" localSheetId="9">#REF!</definedName>
    <definedName name="生产期">#REF!</definedName>
    <definedName name="生产期1" localSheetId="12">#REF!</definedName>
    <definedName name="生产期1" localSheetId="2">#REF!</definedName>
    <definedName name="生产期1" localSheetId="9">#REF!</definedName>
    <definedName name="生产期1">#REF!</definedName>
    <definedName name="生产期10" localSheetId="12">#REF!</definedName>
    <definedName name="生产期10" localSheetId="2">#REF!</definedName>
    <definedName name="生产期10" localSheetId="9">#REF!</definedName>
    <definedName name="生产期10">#REF!</definedName>
    <definedName name="生产期11" localSheetId="12">#REF!</definedName>
    <definedName name="生产期11" localSheetId="2">#REF!</definedName>
    <definedName name="生产期11" localSheetId="9">#REF!</definedName>
    <definedName name="生产期11">#REF!</definedName>
    <definedName name="生产期15" localSheetId="12">#REF!</definedName>
    <definedName name="生产期15" localSheetId="2">#REF!</definedName>
    <definedName name="生产期15" localSheetId="9">#REF!</definedName>
    <definedName name="生产期15">#REF!</definedName>
    <definedName name="生产期16" localSheetId="12">#REF!</definedName>
    <definedName name="生产期16" localSheetId="2">#REF!</definedName>
    <definedName name="生产期16" localSheetId="9">#REF!</definedName>
    <definedName name="生产期16">#REF!</definedName>
    <definedName name="生产期17" localSheetId="12">#REF!</definedName>
    <definedName name="生产期17" localSheetId="2">#REF!</definedName>
    <definedName name="生产期17" localSheetId="9">#REF!</definedName>
    <definedName name="生产期17">#REF!</definedName>
    <definedName name="生产期19" localSheetId="12">#REF!</definedName>
    <definedName name="生产期19" localSheetId="2">#REF!</definedName>
    <definedName name="生产期19" localSheetId="9">#REF!</definedName>
    <definedName name="生产期19">#REF!</definedName>
    <definedName name="生产期2" localSheetId="12">#REF!</definedName>
    <definedName name="生产期2" localSheetId="2">#REF!</definedName>
    <definedName name="生产期2" localSheetId="9">#REF!</definedName>
    <definedName name="生产期2">#REF!</definedName>
    <definedName name="生产期20" localSheetId="12">#REF!</definedName>
    <definedName name="生产期20" localSheetId="2">#REF!</definedName>
    <definedName name="生产期20" localSheetId="9">#REF!</definedName>
    <definedName name="生产期20">#REF!</definedName>
    <definedName name="生产期3" localSheetId="12">#REF!</definedName>
    <definedName name="生产期3" localSheetId="2">#REF!</definedName>
    <definedName name="生产期3" localSheetId="9">#REF!</definedName>
    <definedName name="生产期3">#REF!</definedName>
    <definedName name="生产期4" localSheetId="12">#REF!</definedName>
    <definedName name="生产期4" localSheetId="2">#REF!</definedName>
    <definedName name="生产期4" localSheetId="9">#REF!</definedName>
    <definedName name="生产期4">#REF!</definedName>
    <definedName name="生产期5" localSheetId="8">#REF!</definedName>
    <definedName name="生产期5" localSheetId="12">#REF!</definedName>
    <definedName name="生产期5" localSheetId="2">#REF!</definedName>
    <definedName name="生产期5" localSheetId="9">#REF!</definedName>
    <definedName name="生产期5">#REF!</definedName>
    <definedName name="生产期6" localSheetId="12">#REF!</definedName>
    <definedName name="生产期6" localSheetId="2">#REF!</definedName>
    <definedName name="生产期6" localSheetId="9">#REF!</definedName>
    <definedName name="生产期6">#REF!</definedName>
    <definedName name="生产期7" localSheetId="12">#REF!</definedName>
    <definedName name="生产期7" localSheetId="2">#REF!</definedName>
    <definedName name="生产期7" localSheetId="9">#REF!</definedName>
    <definedName name="生产期7">#REF!</definedName>
    <definedName name="生产期8" localSheetId="12">#REF!</definedName>
    <definedName name="生产期8" localSheetId="2">#REF!</definedName>
    <definedName name="生产期8" localSheetId="9">#REF!</definedName>
    <definedName name="生产期8">#REF!</definedName>
    <definedName name="生产期9" localSheetId="12">#REF!</definedName>
    <definedName name="生产期9" localSheetId="2">#REF!</definedName>
    <definedName name="生产期9" localSheetId="9">#REF!</definedName>
    <definedName name="生产期9">#REF!</definedName>
    <definedName name="物流改善" localSheetId="12" hidden="1">{#N/A,#N/A,FALSE,"Bare Battery F.G."}</definedName>
    <definedName name="物流改善" localSheetId="5" hidden="1">{#N/A,#N/A,FALSE,"Bare Battery F.G."}</definedName>
    <definedName name="物流改善" hidden="1">{#N/A,#N/A,FALSE,"Bare Battery F.G."}</definedName>
    <definedName name="许多" localSheetId="8" hidden="1">{#N/A,#N/A,FALSE,"Bare Battery F.G."}</definedName>
    <definedName name="许多" localSheetId="12" hidden="1">{#N/A,#N/A,FALSE,"Bare Battery F.G."}</definedName>
    <definedName name="许多" localSheetId="2" hidden="1">{#N/A,#N/A,FALSE,"Bare Battery F.G."}</definedName>
    <definedName name="许多" localSheetId="5" hidden="1">{#N/A,#N/A,FALSE,"Bare Battery F.G."}</definedName>
    <definedName name="许多" localSheetId="9" hidden="1">{#N/A,#N/A,FALSE,"Bare Battery F.G."}</definedName>
    <definedName name="许多" localSheetId="10" hidden="1">{#N/A,#N/A,FALSE,"Bare Battery F.G."}</definedName>
    <definedName name="许多" localSheetId="4" hidden="1">{#N/A,#N/A,FALSE,"Bare Battery F.G."}</definedName>
    <definedName name="许多" hidden="1">{#N/A,#N/A,FALSE,"Bare Battery F.G."}</definedName>
    <definedName name="阳极冷压坏品" localSheetId="12">#REF!</definedName>
    <definedName name="阳极冷压坏品" localSheetId="5">#REF!</definedName>
    <definedName name="阳极冷压坏品" localSheetId="9">#REF!</definedName>
    <definedName name="阳极冷压坏品">#REF!</definedName>
    <definedName name="引当金">[35]個別貸引!$C$1:$I$65536</definedName>
    <definedName name="印刷1">[36]㈱札幌_修正BS!$B$2:$G$36</definedName>
    <definedName name="印刷2">[36]㈱札幌_修正BS!$B$2:$K$36</definedName>
    <definedName name="有税・無税" localSheetId="12">#REF!</definedName>
    <definedName name="有税・無税" localSheetId="9">#REF!</definedName>
    <definedName name="有税・無税">#REF!</definedName>
    <definedName name="債権譲渡日" localSheetId="12">#REF!</definedName>
    <definedName name="債権譲渡日" localSheetId="9">#REF!</definedName>
    <definedName name="債権譲渡日">#REF!</definedName>
    <definedName name="中央青山監査法人" localSheetId="12">#REF!</definedName>
    <definedName name="中央青山監査法人" localSheetId="9">#REF!</definedName>
    <definedName name="中央青山監査法人">#REF!</definedName>
    <definedName name="周报2" localSheetId="12" hidden="1">{#N/A,#N/A,FALSE,"Bare Battery F.G."}</definedName>
    <definedName name="周报2" hidden="1">{#N/A,#N/A,FALSE,"Bare Battery F.G."}</definedName>
    <definedName name="周报9.10" localSheetId="12" hidden="1">{#N/A,#N/A,FALSE,"Bare Battery F.G."}</definedName>
    <definedName name="周报9.10" hidden="1">{#N/A,#N/A,FALSE,"Bare Battery F.G."}</definedName>
    <definedName name="周报9.2" localSheetId="12" hidden="1">{#N/A,#N/A,FALSE,"Bare Battery F.G."}</definedName>
    <definedName name="周报9.2" hidden="1">{#N/A,#N/A,FALSE,"Bare Battery F.G."}</definedName>
    <definedName name="左右" localSheetId="12">#REF!</definedName>
    <definedName name="左右" localSheetId="9">#REF!</definedName>
    <definedName name="左右">#REF!</definedName>
  </definedNames>
  <calcPr calcId="145621"/>
</workbook>
</file>

<file path=xl/calcChain.xml><?xml version="1.0" encoding="utf-8"?>
<calcChain xmlns="http://schemas.openxmlformats.org/spreadsheetml/2006/main">
  <c r="F100" i="17" l="1"/>
  <c r="N20" i="3" l="1"/>
  <c r="L20" i="3"/>
  <c r="L19" i="3"/>
  <c r="K20" i="3"/>
  <c r="K19" i="3"/>
  <c r="P20" i="3"/>
  <c r="P19" i="3"/>
  <c r="O20" i="3"/>
  <c r="M20" i="3"/>
  <c r="O19" i="3"/>
  <c r="N19" i="3"/>
  <c r="M19" i="3"/>
  <c r="B11" i="3" l="1"/>
  <c r="H19" i="3" l="1"/>
  <c r="C7" i="2"/>
  <c r="D24" i="2" l="1"/>
  <c r="J48" i="9" l="1"/>
  <c r="G37" i="9" l="1"/>
  <c r="G40" i="9"/>
  <c r="F41" i="9"/>
  <c r="F40" i="9"/>
  <c r="F39" i="9"/>
  <c r="F38" i="9"/>
  <c r="F37" i="9"/>
  <c r="F36" i="9"/>
  <c r="G35" i="9"/>
  <c r="G34" i="9"/>
  <c r="F31" i="9"/>
  <c r="G41" i="9"/>
  <c r="G39" i="9"/>
  <c r="G38" i="9"/>
  <c r="G36" i="9"/>
  <c r="F35" i="9"/>
  <c r="F34" i="9"/>
  <c r="G33" i="9"/>
  <c r="F33" i="9"/>
  <c r="G31" i="9"/>
  <c r="E29" i="9"/>
  <c r="E28" i="9"/>
  <c r="E27" i="9"/>
  <c r="E26" i="9"/>
  <c r="E25" i="9"/>
  <c r="E24" i="9"/>
  <c r="E23" i="9"/>
  <c r="E22" i="9"/>
  <c r="E21" i="9"/>
  <c r="E20" i="9"/>
  <c r="E19" i="9"/>
  <c r="L11" i="3" l="1"/>
  <c r="N44" i="2"/>
  <c r="N40" i="2"/>
  <c r="N36" i="2"/>
  <c r="N32" i="2"/>
  <c r="N43" i="2"/>
  <c r="N39" i="2"/>
  <c r="N35" i="2"/>
  <c r="N31" i="2"/>
  <c r="N38" i="2"/>
  <c r="N30" i="2"/>
  <c r="N41" i="2"/>
  <c r="N37" i="2"/>
  <c r="N33" i="2"/>
  <c r="N29" i="2"/>
  <c r="N42" i="2"/>
  <c r="N34" i="2"/>
  <c r="K50" i="10"/>
  <c r="F50" i="10"/>
  <c r="B50" i="10"/>
  <c r="I50" i="10"/>
  <c r="E50" i="10"/>
  <c r="H50" i="10"/>
  <c r="D50" i="10"/>
  <c r="C50" i="10"/>
  <c r="G50" i="10"/>
  <c r="D44" i="2"/>
  <c r="D40" i="2"/>
  <c r="D36" i="2"/>
  <c r="D32" i="2"/>
  <c r="D43" i="2"/>
  <c r="D39" i="2"/>
  <c r="D35" i="2"/>
  <c r="D31" i="2"/>
  <c r="D42" i="2"/>
  <c r="D38" i="2"/>
  <c r="D34" i="2"/>
  <c r="D30" i="2"/>
  <c r="D41" i="2"/>
  <c r="D37" i="2"/>
  <c r="D33" i="2"/>
  <c r="D29" i="2"/>
  <c r="E11" i="3"/>
  <c r="I11" i="3"/>
  <c r="F11" i="3"/>
  <c r="J11" i="3"/>
  <c r="G11" i="3"/>
  <c r="K11" i="3"/>
  <c r="C11" i="3"/>
  <c r="D11" i="3"/>
  <c r="H11" i="3"/>
  <c r="K45" i="3" l="1"/>
  <c r="M11" i="3"/>
  <c r="F114" i="11" l="1"/>
  <c r="F57" i="11"/>
  <c r="F55" i="11"/>
  <c r="F54" i="11"/>
  <c r="F52" i="11"/>
  <c r="F53" i="11"/>
  <c r="F51" i="11"/>
  <c r="C27" i="2" l="1"/>
  <c r="C28" i="2"/>
  <c r="C21" i="2" l="1"/>
  <c r="C20" i="2"/>
  <c r="C18" i="2"/>
  <c r="C19" i="2"/>
  <c r="C17" i="2"/>
  <c r="C10" i="2"/>
  <c r="C9" i="2"/>
  <c r="C8" i="2"/>
  <c r="K45" i="17" l="1"/>
  <c r="K46" i="17"/>
  <c r="K47" i="17"/>
  <c r="K48" i="17"/>
  <c r="K49" i="17"/>
  <c r="K50" i="17"/>
  <c r="K51" i="17"/>
  <c r="K52" i="17"/>
  <c r="K53" i="17"/>
  <c r="K54" i="17"/>
  <c r="K55" i="17"/>
  <c r="K56" i="17"/>
  <c r="K57" i="17"/>
  <c r="K58" i="17"/>
  <c r="K59" i="17"/>
  <c r="K60" i="17"/>
  <c r="K61" i="17"/>
  <c r="K62" i="17"/>
  <c r="K63" i="17"/>
  <c r="K64" i="17"/>
  <c r="K65" i="17"/>
  <c r="K66" i="17"/>
  <c r="K67" i="17"/>
  <c r="B2" i="2" l="1"/>
  <c r="F117" i="11" l="1"/>
  <c r="K117" i="11" s="1"/>
  <c r="G5" i="1" l="1"/>
  <c r="L9" i="1"/>
  <c r="B62" i="10" l="1"/>
  <c r="I36" i="7" l="1"/>
  <c r="I35" i="7" s="1"/>
  <c r="F62" i="10" l="1"/>
  <c r="O18" i="1" l="1"/>
  <c r="O22" i="2" l="1"/>
  <c r="O11" i="2"/>
  <c r="F55" i="1" l="1"/>
  <c r="I41" i="2" l="1"/>
  <c r="I30" i="2"/>
  <c r="I21" i="2"/>
  <c r="I19" i="2"/>
  <c r="E19" i="3"/>
  <c r="F19" i="3"/>
  <c r="G19" i="3" l="1"/>
  <c r="G20" i="3" l="1"/>
  <c r="E45" i="10" l="1"/>
  <c r="D62" i="10" l="1"/>
  <c r="D18" i="13" l="1"/>
  <c r="D24" i="3" l="1"/>
  <c r="F94" i="17" l="1"/>
  <c r="G115" i="11" l="1"/>
  <c r="L87" i="1" l="1"/>
  <c r="D37" i="13" l="1"/>
  <c r="D42" i="13"/>
  <c r="D41" i="13"/>
  <c r="E103" i="9" l="1"/>
  <c r="D103" i="9" s="1"/>
  <c r="E104" i="9" l="1"/>
  <c r="D104" i="9" s="1"/>
  <c r="E105" i="9"/>
  <c r="D105" i="9" s="1"/>
  <c r="E106" i="9"/>
  <c r="D106" i="9" s="1"/>
  <c r="E107" i="9"/>
  <c r="D107" i="9" s="1"/>
  <c r="E108" i="9"/>
  <c r="D108" i="9" s="1"/>
  <c r="E109" i="9"/>
  <c r="D109" i="9" s="1"/>
  <c r="E110" i="9"/>
  <c r="D110" i="9" s="1"/>
  <c r="E111" i="9"/>
  <c r="D111" i="9" s="1"/>
  <c r="E112" i="9"/>
  <c r="D112" i="9" s="1"/>
  <c r="E113" i="9"/>
  <c r="D113" i="9" s="1"/>
  <c r="E114" i="9"/>
  <c r="D114" i="9" s="1"/>
  <c r="E115" i="9"/>
  <c r="D115" i="9" s="1"/>
  <c r="E116" i="9"/>
  <c r="D116" i="9" s="1"/>
  <c r="E117" i="9"/>
  <c r="D117" i="9" s="1"/>
  <c r="E118" i="9"/>
  <c r="D118" i="9" s="1"/>
  <c r="E119" i="9"/>
  <c r="D119" i="9" s="1"/>
  <c r="E120" i="9"/>
  <c r="D120" i="9" s="1"/>
  <c r="E121" i="9"/>
  <c r="D121" i="9" s="1"/>
  <c r="E122" i="9"/>
  <c r="D122" i="9" s="1"/>
  <c r="E123" i="9"/>
  <c r="D123" i="9" s="1"/>
  <c r="E124" i="9"/>
  <c r="D124" i="9" s="1"/>
  <c r="E125" i="9"/>
  <c r="D125" i="9" s="1"/>
  <c r="E126" i="9"/>
  <c r="D126" i="9" s="1"/>
  <c r="E127" i="9"/>
  <c r="D127" i="9" s="1"/>
  <c r="E128" i="9"/>
  <c r="D128" i="9" s="1"/>
  <c r="E129" i="9"/>
  <c r="D129" i="9" s="1"/>
  <c r="E130" i="9"/>
  <c r="D130" i="9" s="1"/>
  <c r="E131" i="9"/>
  <c r="D131" i="9" s="1"/>
  <c r="E132" i="9"/>
  <c r="D132" i="9" s="1"/>
  <c r="E133" i="9"/>
  <c r="D133" i="9" s="1"/>
  <c r="E134" i="9"/>
  <c r="D134" i="9" s="1"/>
  <c r="E135" i="9"/>
  <c r="D135" i="9" s="1"/>
  <c r="E136" i="9"/>
  <c r="D136" i="9" s="1"/>
  <c r="E137" i="9"/>
  <c r="D137" i="9" s="1"/>
  <c r="E138" i="9"/>
  <c r="D138" i="9" s="1"/>
  <c r="E139" i="9"/>
  <c r="D139" i="9" s="1"/>
  <c r="E140" i="9"/>
  <c r="D140" i="9" s="1"/>
  <c r="C118" i="9" l="1"/>
  <c r="B118" i="9" s="1"/>
  <c r="C119" i="9"/>
  <c r="B119" i="9" s="1"/>
  <c r="C117" i="9"/>
  <c r="B117" i="9" s="1"/>
  <c r="C139" i="9"/>
  <c r="B139" i="9" s="1"/>
  <c r="C121" i="9"/>
  <c r="B121" i="9" s="1"/>
  <c r="C111" i="9"/>
  <c r="B111" i="9" s="1"/>
  <c r="C112" i="9"/>
  <c r="B112" i="9" s="1"/>
  <c r="C126" i="9"/>
  <c r="B126" i="9" s="1"/>
  <c r="C131" i="9"/>
  <c r="B131" i="9" s="1"/>
  <c r="C120" i="9"/>
  <c r="B120" i="9" s="1"/>
  <c r="C135" i="9"/>
  <c r="B135" i="9" s="1"/>
  <c r="C138" i="9"/>
  <c r="B138" i="9" s="1"/>
  <c r="C103" i="9"/>
  <c r="B103" i="9" s="1"/>
  <c r="C125" i="9"/>
  <c r="B125" i="9" s="1"/>
  <c r="C106" i="9"/>
  <c r="B106" i="9" s="1"/>
  <c r="C130" i="9"/>
  <c r="B130" i="9" s="1"/>
  <c r="C124" i="9"/>
  <c r="B124" i="9" s="1"/>
  <c r="C110" i="9"/>
  <c r="B110" i="9" s="1"/>
  <c r="C115" i="9"/>
  <c r="B115" i="9" s="1"/>
  <c r="C104" i="9"/>
  <c r="B104" i="9" s="1"/>
  <c r="C122" i="9"/>
  <c r="B122" i="9" s="1"/>
  <c r="C129" i="9"/>
  <c r="B129" i="9" s="1"/>
  <c r="C109" i="9"/>
  <c r="B109" i="9" s="1"/>
  <c r="C132" i="9"/>
  <c r="B132" i="9" s="1"/>
  <c r="C114" i="9"/>
  <c r="B114" i="9" s="1"/>
  <c r="C123" i="9"/>
  <c r="B123" i="9" s="1"/>
  <c r="C128" i="9"/>
  <c r="B128" i="9" s="1"/>
  <c r="C134" i="9"/>
  <c r="B134" i="9" s="1"/>
  <c r="C105" i="9"/>
  <c r="B105" i="9" s="1"/>
  <c r="C108" i="9"/>
  <c r="B108" i="9" s="1"/>
  <c r="C116" i="9"/>
  <c r="B116" i="9" s="1"/>
  <c r="C133" i="9"/>
  <c r="B133" i="9" s="1"/>
  <c r="C113" i="9"/>
  <c r="B113" i="9" s="1"/>
  <c r="C136" i="9"/>
  <c r="B136" i="9" s="1"/>
  <c r="C127" i="9"/>
  <c r="B127" i="9" s="1"/>
  <c r="C140" i="9"/>
  <c r="B140" i="9" s="1"/>
  <c r="C107" i="9"/>
  <c r="B107" i="9" s="1"/>
  <c r="C137" i="9"/>
  <c r="B137" i="9" s="1"/>
  <c r="B102" i="9"/>
  <c r="G32" i="9"/>
  <c r="F39" i="2" l="1"/>
  <c r="F32" i="9"/>
  <c r="G48" i="9" l="1"/>
  <c r="M28" i="10" l="1"/>
  <c r="K30" i="10"/>
  <c r="O39" i="2" l="1"/>
  <c r="H10" i="10"/>
  <c r="D10" i="10"/>
  <c r="D8" i="13"/>
  <c r="C27" i="15"/>
  <c r="D27" i="15" s="1"/>
  <c r="J50" i="10" l="1"/>
  <c r="G17" i="11"/>
  <c r="H17" i="11" s="1"/>
  <c r="D28" i="15"/>
  <c r="D25" i="15"/>
  <c r="D24" i="15"/>
  <c r="D23" i="15"/>
  <c r="D22" i="15"/>
  <c r="D21" i="15"/>
  <c r="D18" i="15"/>
  <c r="D17" i="15"/>
  <c r="D16" i="15"/>
  <c r="D14" i="15"/>
  <c r="D13" i="15"/>
  <c r="D12" i="15"/>
  <c r="D9" i="15"/>
  <c r="I14" i="2"/>
  <c r="I12" i="2"/>
  <c r="I10" i="2"/>
  <c r="I9" i="2"/>
  <c r="I8" i="2"/>
  <c r="I7" i="2"/>
  <c r="I15" i="2" s="1"/>
  <c r="I23" i="2"/>
  <c r="I22" i="2"/>
  <c r="I20" i="2"/>
  <c r="I18" i="2"/>
  <c r="I17" i="2"/>
  <c r="I44" i="2"/>
  <c r="I43" i="2"/>
  <c r="I42" i="2"/>
  <c r="I40" i="2"/>
  <c r="I39" i="2"/>
  <c r="I38" i="2"/>
  <c r="I37" i="2"/>
  <c r="I36" i="2"/>
  <c r="I35" i="2"/>
  <c r="I34" i="2"/>
  <c r="I33" i="2"/>
  <c r="I32" i="2"/>
  <c r="I31" i="2"/>
  <c r="D13" i="2"/>
  <c r="F8" i="15"/>
  <c r="G43" i="2" l="1"/>
  <c r="F42" i="2"/>
  <c r="G42" i="2" s="1"/>
  <c r="O44" i="2"/>
  <c r="O43" i="2"/>
  <c r="O42" i="2"/>
  <c r="O41" i="2"/>
  <c r="O40" i="2"/>
  <c r="G44" i="2"/>
  <c r="F41" i="2"/>
  <c r="G41" i="2" s="1"/>
  <c r="F40" i="2"/>
  <c r="G40" i="2" s="1"/>
  <c r="F38" i="2"/>
  <c r="I7" i="3" l="1"/>
  <c r="D9" i="13"/>
  <c r="F52" i="3"/>
  <c r="F7" i="15"/>
  <c r="C40" i="2" l="1"/>
  <c r="C41" i="2"/>
  <c r="C42" i="2"/>
  <c r="C43" i="2"/>
  <c r="C44" i="2"/>
  <c r="C29" i="15" l="1"/>
  <c r="D29" i="15" s="1"/>
  <c r="C26" i="15" l="1"/>
  <c r="D26" i="15" s="1"/>
  <c r="C30" i="2" l="1"/>
  <c r="C31" i="2"/>
  <c r="C32" i="2"/>
  <c r="C33" i="2"/>
  <c r="C34" i="2"/>
  <c r="C35" i="2"/>
  <c r="C36" i="2"/>
  <c r="C37" i="2"/>
  <c r="C38" i="2"/>
  <c r="C39" i="2"/>
  <c r="J20" i="3"/>
  <c r="J19" i="3"/>
  <c r="H20" i="3"/>
  <c r="D31" i="13"/>
  <c r="F20" i="3"/>
  <c r="E20" i="3"/>
  <c r="G88" i="11"/>
  <c r="G85" i="11" l="1"/>
  <c r="L29" i="3" l="1"/>
  <c r="I25" i="3"/>
  <c r="I24" i="3"/>
  <c r="E6" i="10" l="1"/>
  <c r="H7" i="10" l="1"/>
  <c r="C62" i="10" l="1"/>
  <c r="C67" i="10" l="1"/>
  <c r="E67" i="10"/>
  <c r="F67" i="10"/>
  <c r="D67" i="10"/>
  <c r="B39" i="10"/>
  <c r="I19" i="3" l="1"/>
  <c r="I29" i="3" s="1"/>
  <c r="N29" i="3" l="1"/>
  <c r="P29" i="3" s="1"/>
  <c r="L30" i="3" s="1"/>
  <c r="O25" i="3"/>
  <c r="O24" i="3"/>
  <c r="J29" i="3"/>
  <c r="J28" i="3"/>
  <c r="I28" i="3"/>
  <c r="H39" i="3"/>
  <c r="L7" i="3"/>
  <c r="J11" i="1"/>
  <c r="C40" i="15" l="1"/>
  <c r="C39" i="15"/>
  <c r="C38" i="15"/>
  <c r="C37" i="15"/>
  <c r="H40" i="3"/>
  <c r="D20" i="3" l="1"/>
  <c r="I40" i="3" l="1"/>
  <c r="J25" i="3" l="1"/>
  <c r="M40" i="3"/>
  <c r="J24" i="3"/>
  <c r="G53" i="11"/>
  <c r="G56" i="11"/>
  <c r="D47" i="13"/>
  <c r="C26" i="2" l="1"/>
  <c r="D26" i="2" s="1"/>
  <c r="C25" i="2"/>
  <c r="D25" i="2" s="1"/>
  <c r="C16" i="2"/>
  <c r="D16" i="2" s="1"/>
  <c r="C6" i="2"/>
  <c r="D6" i="2" s="1"/>
  <c r="E16" i="2"/>
  <c r="E6" i="2"/>
  <c r="I39" i="3" l="1"/>
  <c r="M39" i="3" s="1"/>
  <c r="P25" i="3" l="1"/>
  <c r="P24" i="3"/>
  <c r="D25" i="13"/>
  <c r="D45" i="13" s="1"/>
  <c r="N25" i="2" l="1"/>
  <c r="F36" i="2" l="1"/>
  <c r="G36" i="2" s="1"/>
  <c r="F35" i="2"/>
  <c r="E29" i="15"/>
  <c r="N50" i="7" l="1"/>
  <c r="F50" i="7"/>
  <c r="K50" i="7"/>
  <c r="C50" i="7"/>
  <c r="G38" i="2"/>
  <c r="F37" i="2"/>
  <c r="G37" i="2" s="1"/>
  <c r="G35" i="2"/>
  <c r="F34" i="2"/>
  <c r="G34" i="2" s="1"/>
  <c r="F33" i="2"/>
  <c r="G33" i="2" s="1"/>
  <c r="F32" i="2"/>
  <c r="G32" i="2" s="1"/>
  <c r="F31" i="2"/>
  <c r="G31" i="2" s="1"/>
  <c r="F30" i="2"/>
  <c r="G30" i="2" s="1"/>
  <c r="F29" i="2"/>
  <c r="G29" i="2" s="1"/>
  <c r="O25" i="2"/>
  <c r="C84" i="7" l="1"/>
  <c r="C88" i="7"/>
  <c r="C92" i="7"/>
  <c r="C96" i="7"/>
  <c r="C100" i="7"/>
  <c r="C101" i="7"/>
  <c r="C87" i="7"/>
  <c r="C99" i="7"/>
  <c r="C85" i="7"/>
  <c r="C89" i="7"/>
  <c r="C93" i="7"/>
  <c r="C97" i="7"/>
  <c r="C95" i="7"/>
  <c r="C86" i="7"/>
  <c r="C90" i="7"/>
  <c r="C94" i="7"/>
  <c r="C98" i="7"/>
  <c r="C102" i="7"/>
  <c r="C91" i="7"/>
  <c r="K113" i="7"/>
  <c r="K117" i="7"/>
  <c r="K121" i="7"/>
  <c r="K125" i="7"/>
  <c r="K129" i="7"/>
  <c r="K133" i="7"/>
  <c r="K137" i="7"/>
  <c r="K141" i="7"/>
  <c r="K145" i="7"/>
  <c r="K149" i="7"/>
  <c r="K120" i="7"/>
  <c r="K132" i="7"/>
  <c r="K144" i="7"/>
  <c r="K114" i="7"/>
  <c r="K118" i="7"/>
  <c r="K122" i="7"/>
  <c r="K126" i="7"/>
  <c r="K130" i="7"/>
  <c r="K134" i="7"/>
  <c r="K138" i="7"/>
  <c r="K142" i="7"/>
  <c r="K146" i="7"/>
  <c r="K150" i="7"/>
  <c r="K124" i="7"/>
  <c r="K136" i="7"/>
  <c r="K152" i="7"/>
  <c r="K115" i="7"/>
  <c r="K119" i="7"/>
  <c r="K123" i="7"/>
  <c r="K127" i="7"/>
  <c r="K131" i="7"/>
  <c r="K135" i="7"/>
  <c r="K139" i="7"/>
  <c r="K143" i="7"/>
  <c r="K147" i="7"/>
  <c r="K151" i="7"/>
  <c r="K116" i="7"/>
  <c r="K128" i="7"/>
  <c r="K140" i="7"/>
  <c r="K148" i="7"/>
  <c r="F83" i="7"/>
  <c r="F87" i="7"/>
  <c r="F91" i="7"/>
  <c r="F95" i="7"/>
  <c r="F99" i="7"/>
  <c r="F86" i="7"/>
  <c r="F98" i="7"/>
  <c r="F84" i="7"/>
  <c r="F88" i="7"/>
  <c r="F92" i="7"/>
  <c r="F96" i="7"/>
  <c r="F100" i="7"/>
  <c r="F94" i="7"/>
  <c r="F85" i="7"/>
  <c r="F89" i="7"/>
  <c r="F93" i="7"/>
  <c r="F97" i="7"/>
  <c r="F101" i="7"/>
  <c r="F90" i="7"/>
  <c r="F102" i="7"/>
  <c r="N112" i="7"/>
  <c r="N116" i="7"/>
  <c r="N120" i="7"/>
  <c r="N124" i="7"/>
  <c r="N128" i="7"/>
  <c r="N132" i="7"/>
  <c r="N136" i="7"/>
  <c r="N140" i="7"/>
  <c r="N144" i="7"/>
  <c r="N148" i="7"/>
  <c r="N152" i="7"/>
  <c r="N133" i="7"/>
  <c r="N141" i="7"/>
  <c r="N149" i="7"/>
  <c r="N127" i="7"/>
  <c r="N139" i="7"/>
  <c r="N151" i="7"/>
  <c r="N113" i="7"/>
  <c r="N117" i="7"/>
  <c r="N121" i="7"/>
  <c r="N125" i="7"/>
  <c r="N129" i="7"/>
  <c r="N137" i="7"/>
  <c r="N145" i="7"/>
  <c r="N131" i="7"/>
  <c r="N143" i="7"/>
  <c r="N114" i="7"/>
  <c r="N118" i="7"/>
  <c r="N122" i="7"/>
  <c r="N126" i="7"/>
  <c r="N130" i="7"/>
  <c r="N134" i="7"/>
  <c r="N138" i="7"/>
  <c r="N142" i="7"/>
  <c r="N146" i="7"/>
  <c r="N150" i="7"/>
  <c r="N115" i="7"/>
  <c r="N119" i="7"/>
  <c r="N123" i="7"/>
  <c r="N135" i="7"/>
  <c r="N147" i="7"/>
  <c r="F25" i="2"/>
  <c r="G25" i="2" s="1"/>
  <c r="I37" i="7" l="1"/>
  <c r="E62" i="10" l="1"/>
  <c r="K16" i="10"/>
  <c r="F66" i="10" l="1"/>
  <c r="E66" i="10"/>
  <c r="K22" i="10"/>
  <c r="O37" i="2"/>
  <c r="O38" i="2"/>
  <c r="C66" i="10" l="1"/>
  <c r="C76" i="10" s="1"/>
  <c r="C80" i="10"/>
  <c r="D66" i="10"/>
  <c r="D76" i="10" s="1"/>
  <c r="E76" i="10" s="1"/>
  <c r="D80" i="10" l="1"/>
  <c r="E80" i="10" s="1"/>
  <c r="D68" i="10"/>
  <c r="E68" i="10"/>
  <c r="C68" i="10"/>
  <c r="F68" i="10"/>
  <c r="D38" i="7"/>
  <c r="D37" i="7"/>
  <c r="D33" i="7"/>
  <c r="D32" i="7" s="1"/>
  <c r="D72" i="10" l="1"/>
  <c r="E72" i="10" s="1"/>
  <c r="C72" i="10"/>
  <c r="F116" i="11" l="1"/>
  <c r="K116" i="11" s="1"/>
  <c r="F115" i="11"/>
  <c r="J115" i="11" s="1"/>
  <c r="K114" i="11"/>
  <c r="F113" i="11"/>
  <c r="K113" i="11" s="1"/>
  <c r="F89" i="11"/>
  <c r="K89" i="11" s="1"/>
  <c r="F88" i="11"/>
  <c r="K88" i="11" s="1"/>
  <c r="F87" i="11"/>
  <c r="K87" i="11" s="1"/>
  <c r="F86" i="11"/>
  <c r="K86" i="11" s="1"/>
  <c r="F85" i="11"/>
  <c r="K85" i="11" s="1"/>
  <c r="F84" i="11"/>
  <c r="K84" i="11" s="1"/>
  <c r="F83" i="11"/>
  <c r="K83" i="11" s="1"/>
  <c r="F82" i="11"/>
  <c r="K82" i="11" s="1"/>
  <c r="F81" i="11"/>
  <c r="K81" i="11" s="1"/>
  <c r="F80" i="11"/>
  <c r="K80" i="11" s="1"/>
  <c r="G57" i="11"/>
  <c r="G89" i="11" s="1"/>
  <c r="F56" i="11"/>
  <c r="K56" i="11" s="1"/>
  <c r="K55" i="11"/>
  <c r="K54" i="11"/>
  <c r="K53" i="11"/>
  <c r="K52" i="11"/>
  <c r="K51" i="11"/>
  <c r="G50" i="11"/>
  <c r="F50" i="11"/>
  <c r="K50" i="11" s="1"/>
  <c r="F49" i="11"/>
  <c r="K49" i="11" s="1"/>
  <c r="F48" i="11"/>
  <c r="K48" i="11" s="1"/>
  <c r="F17" i="11"/>
  <c r="G16" i="11"/>
  <c r="F16" i="11"/>
  <c r="K16" i="11" s="1"/>
  <c r="O16" i="11" s="1"/>
  <c r="F15" i="11"/>
  <c r="J53" i="11"/>
  <c r="J28" i="1"/>
  <c r="J26" i="1"/>
  <c r="O19" i="1"/>
  <c r="J14" i="1" s="1"/>
  <c r="J13" i="1" s="1"/>
  <c r="O17" i="1"/>
  <c r="C41" i="3"/>
  <c r="C40" i="3"/>
  <c r="C39" i="3"/>
  <c r="D23" i="3"/>
  <c r="D12" i="13"/>
  <c r="D50" i="13"/>
  <c r="D49" i="13"/>
  <c r="D48" i="13"/>
  <c r="D46" i="13"/>
  <c r="D35" i="13"/>
  <c r="D34" i="13"/>
  <c r="D32" i="13"/>
  <c r="D30" i="13"/>
  <c r="D23" i="13"/>
  <c r="D22" i="13"/>
  <c r="D21" i="13"/>
  <c r="G61" i="13" s="1"/>
  <c r="D20" i="13"/>
  <c r="D19" i="13"/>
  <c r="D17" i="13"/>
  <c r="D52" i="13"/>
  <c r="D11" i="13"/>
  <c r="F59" i="13" s="1"/>
  <c r="J45" i="3" l="1"/>
  <c r="J46" i="3" s="1"/>
  <c r="K115" i="11"/>
  <c r="M115" i="11" s="1"/>
  <c r="J16" i="11"/>
  <c r="P16" i="11" s="1"/>
  <c r="L12" i="1"/>
  <c r="K68" i="1" s="1"/>
  <c r="Q17" i="1"/>
  <c r="J50" i="11"/>
  <c r="M50" i="11" s="1"/>
  <c r="G39" i="2"/>
  <c r="K40" i="3"/>
  <c r="C35" i="15" s="1"/>
  <c r="L115" i="11"/>
  <c r="C35" i="3"/>
  <c r="J7" i="3" s="1"/>
  <c r="I17" i="11"/>
  <c r="K17" i="11" s="1"/>
  <c r="O17" i="11" s="1"/>
  <c r="I34" i="7"/>
  <c r="Q19" i="1"/>
  <c r="F29" i="15"/>
  <c r="L53" i="11"/>
  <c r="M53" i="11"/>
  <c r="L40" i="3"/>
  <c r="D24" i="13"/>
  <c r="J40" i="3"/>
  <c r="D33" i="13"/>
  <c r="G62" i="13" s="1"/>
  <c r="D10" i="13"/>
  <c r="D41" i="3"/>
  <c r="G82" i="11"/>
  <c r="J82" i="11" s="1"/>
  <c r="J89" i="11"/>
  <c r="G116" i="11"/>
  <c r="J85" i="11"/>
  <c r="J88" i="11"/>
  <c r="J56" i="11"/>
  <c r="J57" i="11"/>
  <c r="L16" i="11" l="1"/>
  <c r="Q16" i="11"/>
  <c r="M16" i="11"/>
  <c r="L50" i="11"/>
  <c r="C9" i="1"/>
  <c r="Q16" i="1" s="1"/>
  <c r="J12" i="1"/>
  <c r="Q18" i="1" s="1"/>
  <c r="O30" i="2"/>
  <c r="D40" i="15"/>
  <c r="D38" i="15"/>
  <c r="D39" i="15"/>
  <c r="D37" i="15"/>
  <c r="E39" i="15"/>
  <c r="K39" i="3"/>
  <c r="O29" i="2"/>
  <c r="O31" i="2"/>
  <c r="O32" i="2"/>
  <c r="J17" i="11"/>
  <c r="M17" i="11" s="1"/>
  <c r="D36" i="7"/>
  <c r="I32" i="7"/>
  <c r="M82" i="11"/>
  <c r="L82" i="11"/>
  <c r="M88" i="11"/>
  <c r="L88" i="11"/>
  <c r="L56" i="11"/>
  <c r="M56" i="11"/>
  <c r="M85" i="11"/>
  <c r="L85" i="11"/>
  <c r="J116" i="11"/>
  <c r="M102" i="11"/>
  <c r="G113" i="11" s="1"/>
  <c r="J113" i="11" s="1"/>
  <c r="O25" i="1"/>
  <c r="D39" i="3"/>
  <c r="D44" i="13"/>
  <c r="F63" i="13" s="1"/>
  <c r="D55" i="13"/>
  <c r="L57" i="11"/>
  <c r="M57" i="11"/>
  <c r="M89" i="11"/>
  <c r="L89" i="11"/>
  <c r="J39" i="3"/>
  <c r="L39" i="3"/>
  <c r="H45" i="3" s="1"/>
  <c r="D36" i="13"/>
  <c r="F45" i="3" l="1"/>
  <c r="F46" i="3" s="1"/>
  <c r="G45" i="3"/>
  <c r="G46" i="3" s="1"/>
  <c r="H46" i="3"/>
  <c r="C36" i="15"/>
  <c r="E45" i="3"/>
  <c r="E46" i="3" s="1"/>
  <c r="D45" i="3"/>
  <c r="M52" i="3" s="1"/>
  <c r="K7" i="3" s="1"/>
  <c r="D52" i="3"/>
  <c r="O21" i="1"/>
  <c r="O20" i="1" s="1"/>
  <c r="K113" i="1"/>
  <c r="K13" i="2" s="1"/>
  <c r="N53" i="7"/>
  <c r="D41" i="7"/>
  <c r="N54" i="7" s="1"/>
  <c r="G86" i="10"/>
  <c r="F86" i="10"/>
  <c r="C81" i="10"/>
  <c r="F39" i="15"/>
  <c r="O24" i="1"/>
  <c r="D36" i="15"/>
  <c r="K53" i="7"/>
  <c r="C53" i="7"/>
  <c r="Q17" i="11"/>
  <c r="P17" i="11"/>
  <c r="L17" i="11"/>
  <c r="O33" i="2"/>
  <c r="I33" i="7"/>
  <c r="D39" i="7"/>
  <c r="D40" i="7" s="1"/>
  <c r="M113" i="11"/>
  <c r="L113" i="11"/>
  <c r="O26" i="1"/>
  <c r="D40" i="3"/>
  <c r="D38" i="13"/>
  <c r="F62" i="13" s="1"/>
  <c r="L116" i="11"/>
  <c r="M116" i="11"/>
  <c r="I45" i="3" l="1"/>
  <c r="I46" i="3"/>
  <c r="N56" i="7"/>
  <c r="N58" i="7" s="1"/>
  <c r="N60" i="7" s="1"/>
  <c r="N62" i="7" s="1"/>
  <c r="N64" i="7" s="1"/>
  <c r="N66" i="7" s="1"/>
  <c r="N68" i="7" s="1"/>
  <c r="N70" i="7" s="1"/>
  <c r="N72" i="7" s="1"/>
  <c r="N74" i="7" s="1"/>
  <c r="N76" i="7" s="1"/>
  <c r="N78" i="7" s="1"/>
  <c r="N80" i="7" s="1"/>
  <c r="N82" i="7" s="1"/>
  <c r="N84" i="7" s="1"/>
  <c r="N86" i="7" s="1"/>
  <c r="N88" i="7" s="1"/>
  <c r="N90" i="7" s="1"/>
  <c r="N92" i="7" s="1"/>
  <c r="N94" i="7" s="1"/>
  <c r="N96" i="7" s="1"/>
  <c r="N98" i="7" s="1"/>
  <c r="N100" i="7" s="1"/>
  <c r="N102" i="7" s="1"/>
  <c r="N104" i="7" s="1"/>
  <c r="N106" i="7" s="1"/>
  <c r="N108" i="7" s="1"/>
  <c r="N110" i="7" s="1"/>
  <c r="N55" i="7"/>
  <c r="N57" i="7" s="1"/>
  <c r="N59" i="7" s="1"/>
  <c r="N61" i="7" s="1"/>
  <c r="N63" i="7" s="1"/>
  <c r="N65" i="7" s="1"/>
  <c r="N67" i="7" s="1"/>
  <c r="N69" i="7" s="1"/>
  <c r="N71" i="7" s="1"/>
  <c r="N73" i="7" s="1"/>
  <c r="N75" i="7" s="1"/>
  <c r="N77" i="7" s="1"/>
  <c r="N79" i="7" s="1"/>
  <c r="N81" i="7" s="1"/>
  <c r="N83" i="7" s="1"/>
  <c r="N85" i="7" s="1"/>
  <c r="N87" i="7" s="1"/>
  <c r="N89" i="7" s="1"/>
  <c r="N91" i="7" s="1"/>
  <c r="N93" i="7" s="1"/>
  <c r="N95" i="7" s="1"/>
  <c r="N97" i="7" s="1"/>
  <c r="N99" i="7" s="1"/>
  <c r="N101" i="7" s="1"/>
  <c r="N103" i="7" s="1"/>
  <c r="N105" i="7" s="1"/>
  <c r="N107" i="7" s="1"/>
  <c r="N109" i="7" s="1"/>
  <c r="F54" i="7"/>
  <c r="F55" i="7" s="1"/>
  <c r="F56" i="7" s="1"/>
  <c r="F57" i="7" s="1"/>
  <c r="F58" i="7" s="1"/>
  <c r="F59" i="7" s="1"/>
  <c r="F60" i="7" s="1"/>
  <c r="F61" i="7" s="1"/>
  <c r="F62" i="7" s="1"/>
  <c r="F63" i="7" s="1"/>
  <c r="F64" i="7" s="1"/>
  <c r="F65" i="7" s="1"/>
  <c r="F66" i="7" s="1"/>
  <c r="F67" i="7" s="1"/>
  <c r="F68" i="7" s="1"/>
  <c r="F69" i="7" s="1"/>
  <c r="F70" i="7" s="1"/>
  <c r="F71" i="7" s="1"/>
  <c r="F72" i="7" s="1"/>
  <c r="F73" i="7" s="1"/>
  <c r="F74" i="7" s="1"/>
  <c r="F75" i="7" s="1"/>
  <c r="F76" i="7" s="1"/>
  <c r="F77" i="7" s="1"/>
  <c r="F78" i="7" s="1"/>
  <c r="F79" i="7" s="1"/>
  <c r="F80" i="7" s="1"/>
  <c r="F81" i="7" s="1"/>
  <c r="K56" i="7"/>
  <c r="K58" i="7" s="1"/>
  <c r="K60" i="7" s="1"/>
  <c r="K62" i="7" s="1"/>
  <c r="K64" i="7" s="1"/>
  <c r="K66" i="7" s="1"/>
  <c r="K68" i="7" s="1"/>
  <c r="K70" i="7" s="1"/>
  <c r="K72" i="7" s="1"/>
  <c r="K74" i="7" s="1"/>
  <c r="K76" i="7" s="1"/>
  <c r="K78" i="7" s="1"/>
  <c r="K80" i="7" s="1"/>
  <c r="K82" i="7" s="1"/>
  <c r="K84" i="7" s="1"/>
  <c r="K86" i="7" s="1"/>
  <c r="K88" i="7" s="1"/>
  <c r="K90" i="7" s="1"/>
  <c r="K92" i="7" s="1"/>
  <c r="K94" i="7" s="1"/>
  <c r="K96" i="7" s="1"/>
  <c r="K98" i="7" s="1"/>
  <c r="K100" i="7" s="1"/>
  <c r="K102" i="7" s="1"/>
  <c r="K104" i="7" s="1"/>
  <c r="K106" i="7" s="1"/>
  <c r="K108" i="7" s="1"/>
  <c r="K110" i="7" s="1"/>
  <c r="F48" i="7"/>
  <c r="K55" i="7"/>
  <c r="K57" i="7" s="1"/>
  <c r="K59" i="7" s="1"/>
  <c r="K61" i="7" s="1"/>
  <c r="K63" i="7" s="1"/>
  <c r="K65" i="7" s="1"/>
  <c r="K67" i="7" s="1"/>
  <c r="K69" i="7" s="1"/>
  <c r="K71" i="7" s="1"/>
  <c r="K73" i="7" s="1"/>
  <c r="K75" i="7" s="1"/>
  <c r="K77" i="7" s="1"/>
  <c r="K79" i="7" s="1"/>
  <c r="K81" i="7" s="1"/>
  <c r="K83" i="7" s="1"/>
  <c r="K85" i="7" s="1"/>
  <c r="K87" i="7" s="1"/>
  <c r="K89" i="7" s="1"/>
  <c r="K91" i="7" s="1"/>
  <c r="K93" i="7" s="1"/>
  <c r="K95" i="7" s="1"/>
  <c r="K97" i="7" s="1"/>
  <c r="K99" i="7" s="1"/>
  <c r="K101" i="7" s="1"/>
  <c r="K103" i="7" s="1"/>
  <c r="K105" i="7" s="1"/>
  <c r="K107" i="7" s="1"/>
  <c r="K109" i="7" s="1"/>
  <c r="K111" i="7" s="1"/>
  <c r="N48" i="7"/>
  <c r="K48" i="7"/>
  <c r="K54" i="7" s="1"/>
  <c r="C48" i="7"/>
  <c r="L119" i="1"/>
  <c r="J110" i="1" s="1"/>
  <c r="L118" i="1"/>
  <c r="L88" i="1"/>
  <c r="D100" i="10"/>
  <c r="K52" i="3"/>
  <c r="L52" i="3"/>
  <c r="L45" i="3" s="1"/>
  <c r="D53" i="13"/>
  <c r="D35" i="15"/>
  <c r="D81" i="10"/>
  <c r="E81" i="10" s="1"/>
  <c r="D53" i="3"/>
  <c r="D46" i="3"/>
  <c r="F7" i="3" s="1"/>
  <c r="V55" i="7"/>
  <c r="Z55" i="7" s="1"/>
  <c r="X75" i="7"/>
  <c r="AA75" i="7" s="1"/>
  <c r="C54" i="7"/>
  <c r="C55" i="7" s="1"/>
  <c r="C56" i="7" s="1"/>
  <c r="C57" i="7" s="1"/>
  <c r="C58" i="7" s="1"/>
  <c r="C59" i="7" s="1"/>
  <c r="C60" i="7" s="1"/>
  <c r="C61" i="7" s="1"/>
  <c r="C62" i="7" s="1"/>
  <c r="C63" i="7" s="1"/>
  <c r="C64" i="7" s="1"/>
  <c r="C65" i="7" s="1"/>
  <c r="C66" i="7" s="1"/>
  <c r="C67" i="7" s="1"/>
  <c r="C68" i="7" s="1"/>
  <c r="C69" i="7" s="1"/>
  <c r="C70" i="7" s="1"/>
  <c r="C71" i="7" s="1"/>
  <c r="C72" i="7" s="1"/>
  <c r="C73" i="7" s="1"/>
  <c r="C74" i="7" s="1"/>
  <c r="C75" i="7" s="1"/>
  <c r="C76" i="7" s="1"/>
  <c r="C77" i="7" s="1"/>
  <c r="C78" i="7" s="1"/>
  <c r="C79" i="7" s="1"/>
  <c r="C80" i="7" s="1"/>
  <c r="C81" i="7" s="1"/>
  <c r="C82" i="7" s="1"/>
  <c r="X105" i="7"/>
  <c r="AA105" i="7" s="1"/>
  <c r="X139" i="7"/>
  <c r="AA139" i="7" s="1"/>
  <c r="X128" i="7"/>
  <c r="AA128" i="7" s="1"/>
  <c r="X137" i="7"/>
  <c r="AA137" i="7" s="1"/>
  <c r="X74" i="7"/>
  <c r="AA74" i="7" s="1"/>
  <c r="X64" i="7"/>
  <c r="AA64" i="7" s="1"/>
  <c r="X148" i="7"/>
  <c r="AA148" i="7" s="1"/>
  <c r="X102" i="7"/>
  <c r="AA102" i="7" s="1"/>
  <c r="X94" i="7"/>
  <c r="AA94" i="7" s="1"/>
  <c r="X99" i="7"/>
  <c r="AA99" i="7" s="1"/>
  <c r="X84" i="7"/>
  <c r="AA84" i="7" s="1"/>
  <c r="X81" i="7"/>
  <c r="AA81" i="7" s="1"/>
  <c r="X53" i="7"/>
  <c r="AA53" i="7" s="1"/>
  <c r="F53" i="7" s="1"/>
  <c r="X122" i="7"/>
  <c r="AA122" i="7" s="1"/>
  <c r="X119" i="7"/>
  <c r="AA119" i="7" s="1"/>
  <c r="X104" i="7"/>
  <c r="AA104" i="7" s="1"/>
  <c r="X117" i="7"/>
  <c r="AA117" i="7" s="1"/>
  <c r="X55" i="7"/>
  <c r="AA55" i="7" s="1"/>
  <c r="X69" i="7"/>
  <c r="AA69" i="7" s="1"/>
  <c r="X78" i="7"/>
  <c r="AA78" i="7" s="1"/>
  <c r="X130" i="7"/>
  <c r="AA130" i="7" s="1"/>
  <c r="X59" i="7"/>
  <c r="AA59" i="7" s="1"/>
  <c r="X103" i="7"/>
  <c r="AA103" i="7" s="1"/>
  <c r="X147" i="7"/>
  <c r="AA147" i="7" s="1"/>
  <c r="X88" i="7"/>
  <c r="AA88" i="7" s="1"/>
  <c r="X112" i="7"/>
  <c r="AA112" i="7" s="1"/>
  <c r="X152" i="7"/>
  <c r="AA152" i="7" s="1"/>
  <c r="X97" i="7"/>
  <c r="AA97" i="7" s="1"/>
  <c r="X141" i="7"/>
  <c r="AA141" i="7" s="1"/>
  <c r="X142" i="7"/>
  <c r="AA142" i="7" s="1"/>
  <c r="X77" i="7"/>
  <c r="AA77" i="7" s="1"/>
  <c r="X58" i="7"/>
  <c r="AA58" i="7" s="1"/>
  <c r="X86" i="7"/>
  <c r="AA86" i="7" s="1"/>
  <c r="X110" i="7"/>
  <c r="AA110" i="7" s="1"/>
  <c r="X134" i="7"/>
  <c r="AA134" i="7" s="1"/>
  <c r="X67" i="7"/>
  <c r="AA67" i="7" s="1"/>
  <c r="X87" i="7"/>
  <c r="AA87" i="7" s="1"/>
  <c r="X107" i="7"/>
  <c r="AA107" i="7" s="1"/>
  <c r="X131" i="7"/>
  <c r="AA131" i="7" s="1"/>
  <c r="X151" i="7"/>
  <c r="AA151" i="7" s="1"/>
  <c r="X72" i="7"/>
  <c r="AA72" i="7" s="1"/>
  <c r="X96" i="7"/>
  <c r="AA96" i="7" s="1"/>
  <c r="X116" i="7"/>
  <c r="AA116" i="7" s="1"/>
  <c r="X136" i="7"/>
  <c r="AA136" i="7" s="1"/>
  <c r="X65" i="7"/>
  <c r="AA65" i="7" s="1"/>
  <c r="X101" i="7"/>
  <c r="AA101" i="7" s="1"/>
  <c r="X125" i="7"/>
  <c r="AA125" i="7" s="1"/>
  <c r="X149" i="7"/>
  <c r="AA149" i="7" s="1"/>
  <c r="X150" i="7"/>
  <c r="AA150" i="7" s="1"/>
  <c r="X54" i="7"/>
  <c r="AA54" i="7" s="1"/>
  <c r="X106" i="7"/>
  <c r="AA106" i="7" s="1"/>
  <c r="X83" i="7"/>
  <c r="AA83" i="7" s="1"/>
  <c r="X123" i="7"/>
  <c r="AA123" i="7" s="1"/>
  <c r="X68" i="7"/>
  <c r="AA68" i="7" s="1"/>
  <c r="X132" i="7"/>
  <c r="AA132" i="7" s="1"/>
  <c r="X121" i="7"/>
  <c r="AA121" i="7" s="1"/>
  <c r="X85" i="7"/>
  <c r="AA85" i="7" s="1"/>
  <c r="X70" i="7"/>
  <c r="AA70" i="7" s="1"/>
  <c r="X90" i="7"/>
  <c r="AA90" i="7" s="1"/>
  <c r="X114" i="7"/>
  <c r="AA114" i="7" s="1"/>
  <c r="X146" i="7"/>
  <c r="AA146" i="7" s="1"/>
  <c r="X71" i="7"/>
  <c r="AA71" i="7" s="1"/>
  <c r="X91" i="7"/>
  <c r="AA91" i="7" s="1"/>
  <c r="X115" i="7"/>
  <c r="AA115" i="7" s="1"/>
  <c r="X135" i="7"/>
  <c r="AA135" i="7" s="1"/>
  <c r="X56" i="7"/>
  <c r="AA56" i="7" s="1"/>
  <c r="X80" i="7"/>
  <c r="AA80" i="7" s="1"/>
  <c r="X100" i="7"/>
  <c r="AA100" i="7" s="1"/>
  <c r="X120" i="7"/>
  <c r="AA120" i="7" s="1"/>
  <c r="X144" i="7"/>
  <c r="AA144" i="7" s="1"/>
  <c r="X73" i="7"/>
  <c r="AA73" i="7" s="1"/>
  <c r="X109" i="7"/>
  <c r="AA109" i="7" s="1"/>
  <c r="X133" i="7"/>
  <c r="AA133" i="7" s="1"/>
  <c r="X66" i="7"/>
  <c r="AA66" i="7" s="1"/>
  <c r="O35" i="2"/>
  <c r="O36" i="2"/>
  <c r="O34" i="2"/>
  <c r="X61" i="7"/>
  <c r="AA61" i="7" s="1"/>
  <c r="X93" i="7"/>
  <c r="AA93" i="7" s="1"/>
  <c r="X62" i="7"/>
  <c r="AA62" i="7" s="1"/>
  <c r="X82" i="7"/>
  <c r="AA82" i="7" s="1"/>
  <c r="X98" i="7"/>
  <c r="AA98" i="7" s="1"/>
  <c r="X118" i="7"/>
  <c r="AA118" i="7" s="1"/>
  <c r="X138" i="7"/>
  <c r="AA138" i="7" s="1"/>
  <c r="X63" i="7"/>
  <c r="AA63" i="7" s="1"/>
  <c r="X79" i="7"/>
  <c r="AA79" i="7" s="1"/>
  <c r="X95" i="7"/>
  <c r="AA95" i="7" s="1"/>
  <c r="X111" i="7"/>
  <c r="AA111" i="7" s="1"/>
  <c r="X127" i="7"/>
  <c r="AA127" i="7" s="1"/>
  <c r="X143" i="7"/>
  <c r="AA143" i="7" s="1"/>
  <c r="X60" i="7"/>
  <c r="AA60" i="7" s="1"/>
  <c r="X76" i="7"/>
  <c r="AA76" i="7" s="1"/>
  <c r="X92" i="7"/>
  <c r="AA92" i="7" s="1"/>
  <c r="X108" i="7"/>
  <c r="AA108" i="7" s="1"/>
  <c r="X124" i="7"/>
  <c r="AA124" i="7" s="1"/>
  <c r="X140" i="7"/>
  <c r="AA140" i="7" s="1"/>
  <c r="X57" i="7"/>
  <c r="AA57" i="7" s="1"/>
  <c r="X89" i="7"/>
  <c r="AA89" i="7" s="1"/>
  <c r="X113" i="7"/>
  <c r="AA113" i="7" s="1"/>
  <c r="X129" i="7"/>
  <c r="AA129" i="7" s="1"/>
  <c r="X145" i="7"/>
  <c r="AA145" i="7" s="1"/>
  <c r="X126" i="7"/>
  <c r="AA126" i="7" s="1"/>
  <c r="V152" i="7"/>
  <c r="Z152" i="7" s="1"/>
  <c r="V150" i="7"/>
  <c r="Z150" i="7" s="1"/>
  <c r="V151" i="7"/>
  <c r="Z151" i="7" s="1"/>
  <c r="V69" i="7"/>
  <c r="Z69" i="7" s="1"/>
  <c r="V97" i="7"/>
  <c r="Z97" i="7" s="1"/>
  <c r="V90" i="7"/>
  <c r="Z90" i="7" s="1"/>
  <c r="V79" i="7"/>
  <c r="Z79" i="7" s="1"/>
  <c r="V114" i="7"/>
  <c r="Z114" i="7" s="1"/>
  <c r="V111" i="7"/>
  <c r="Z111" i="7" s="1"/>
  <c r="V142" i="7"/>
  <c r="Z142" i="7" s="1"/>
  <c r="V101" i="7"/>
  <c r="Z101" i="7" s="1"/>
  <c r="V122" i="7"/>
  <c r="Z122" i="7" s="1"/>
  <c r="V116" i="7"/>
  <c r="Z116" i="7" s="1"/>
  <c r="V99" i="7"/>
  <c r="Z99" i="7" s="1"/>
  <c r="V125" i="7"/>
  <c r="Z125" i="7" s="1"/>
  <c r="V71" i="7"/>
  <c r="Z71" i="7" s="1"/>
  <c r="V148" i="7"/>
  <c r="Z148" i="7" s="1"/>
  <c r="V136" i="7"/>
  <c r="Z136" i="7" s="1"/>
  <c r="V61" i="7"/>
  <c r="Z61" i="7" s="1"/>
  <c r="V133" i="7"/>
  <c r="Z133" i="7" s="1"/>
  <c r="V70" i="7"/>
  <c r="Z70" i="7" s="1"/>
  <c r="V135" i="7"/>
  <c r="Z135" i="7" s="1"/>
  <c r="V129" i="7"/>
  <c r="Z129" i="7" s="1"/>
  <c r="V53" i="7"/>
  <c r="Z53" i="7" s="1"/>
  <c r="V143" i="7"/>
  <c r="Z143" i="7" s="1"/>
  <c r="V57" i="7"/>
  <c r="Z57" i="7" s="1"/>
  <c r="V145" i="7"/>
  <c r="Z145" i="7" s="1"/>
  <c r="V107" i="7"/>
  <c r="Z107" i="7" s="1"/>
  <c r="V93" i="7"/>
  <c r="Z93" i="7" s="1"/>
  <c r="V82" i="7"/>
  <c r="Z82" i="7" s="1"/>
  <c r="V146" i="7"/>
  <c r="Z146" i="7" s="1"/>
  <c r="V103" i="7"/>
  <c r="Z103" i="7" s="1"/>
  <c r="V100" i="7"/>
  <c r="Z100" i="7" s="1"/>
  <c r="V89" i="7"/>
  <c r="Z89" i="7" s="1"/>
  <c r="V110" i="7"/>
  <c r="Z110" i="7" s="1"/>
  <c r="V112" i="7"/>
  <c r="Z112" i="7" s="1"/>
  <c r="V62" i="7"/>
  <c r="Z62" i="7" s="1"/>
  <c r="V77" i="7"/>
  <c r="Z77" i="7" s="1"/>
  <c r="V109" i="7"/>
  <c r="Z109" i="7" s="1"/>
  <c r="V141" i="7"/>
  <c r="Z141" i="7" s="1"/>
  <c r="V98" i="7"/>
  <c r="Z98" i="7" s="1"/>
  <c r="V130" i="7"/>
  <c r="Z130" i="7" s="1"/>
  <c r="V87" i="7"/>
  <c r="Z87" i="7" s="1"/>
  <c r="V119" i="7"/>
  <c r="Z119" i="7" s="1"/>
  <c r="V84" i="7"/>
  <c r="Z84" i="7" s="1"/>
  <c r="V124" i="7"/>
  <c r="Z124" i="7" s="1"/>
  <c r="V65" i="7"/>
  <c r="Z65" i="7" s="1"/>
  <c r="V113" i="7"/>
  <c r="Z113" i="7" s="1"/>
  <c r="V86" i="7"/>
  <c r="Z86" i="7" s="1"/>
  <c r="V59" i="7"/>
  <c r="Z59" i="7" s="1"/>
  <c r="V131" i="7"/>
  <c r="Z131" i="7" s="1"/>
  <c r="V64" i="7"/>
  <c r="Z64" i="7" s="1"/>
  <c r="V54" i="7"/>
  <c r="Z54" i="7" s="1"/>
  <c r="V85" i="7"/>
  <c r="Z85" i="7" s="1"/>
  <c r="V117" i="7"/>
  <c r="Z117" i="7" s="1"/>
  <c r="V149" i="7"/>
  <c r="Z149" i="7" s="1"/>
  <c r="V106" i="7"/>
  <c r="Z106" i="7" s="1"/>
  <c r="V138" i="7"/>
  <c r="Z138" i="7" s="1"/>
  <c r="V63" i="7"/>
  <c r="Z63" i="7" s="1"/>
  <c r="V95" i="7"/>
  <c r="Z95" i="7" s="1"/>
  <c r="V127" i="7"/>
  <c r="Z127" i="7" s="1"/>
  <c r="V92" i="7"/>
  <c r="Z92" i="7" s="1"/>
  <c r="V132" i="7"/>
  <c r="Z132" i="7" s="1"/>
  <c r="V81" i="7"/>
  <c r="Z81" i="7" s="1"/>
  <c r="V121" i="7"/>
  <c r="Z121" i="7" s="1"/>
  <c r="V102" i="7"/>
  <c r="Z102" i="7" s="1"/>
  <c r="V67" i="7"/>
  <c r="Z67" i="7" s="1"/>
  <c r="V88" i="7"/>
  <c r="Z88" i="7" s="1"/>
  <c r="V72" i="7"/>
  <c r="Z72" i="7" s="1"/>
  <c r="V78" i="7"/>
  <c r="Z78" i="7" s="1"/>
  <c r="V126" i="7"/>
  <c r="Z126" i="7" s="1"/>
  <c r="V91" i="7"/>
  <c r="Z91" i="7" s="1"/>
  <c r="V147" i="7"/>
  <c r="Z147" i="7" s="1"/>
  <c r="V144" i="7"/>
  <c r="Z144" i="7" s="1"/>
  <c r="V76" i="7"/>
  <c r="Z76" i="7" s="1"/>
  <c r="V108" i="7"/>
  <c r="Z108" i="7" s="1"/>
  <c r="V140" i="7"/>
  <c r="Z140" i="7" s="1"/>
  <c r="V73" i="7"/>
  <c r="Z73" i="7" s="1"/>
  <c r="V105" i="7"/>
  <c r="Z105" i="7" s="1"/>
  <c r="V137" i="7"/>
  <c r="Z137" i="7" s="1"/>
  <c r="V94" i="7"/>
  <c r="Z94" i="7" s="1"/>
  <c r="V134" i="7"/>
  <c r="Z134" i="7" s="1"/>
  <c r="V75" i="7"/>
  <c r="Z75" i="7" s="1"/>
  <c r="V123" i="7"/>
  <c r="Z123" i="7" s="1"/>
  <c r="V104" i="7"/>
  <c r="Z104" i="7" s="1"/>
  <c r="V60" i="7"/>
  <c r="Z60" i="7" s="1"/>
  <c r="V74" i="7"/>
  <c r="Z74" i="7" s="1"/>
  <c r="V118" i="7"/>
  <c r="Z118" i="7" s="1"/>
  <c r="V83" i="7"/>
  <c r="Z83" i="7" s="1"/>
  <c r="V115" i="7"/>
  <c r="Z115" i="7" s="1"/>
  <c r="V80" i="7"/>
  <c r="Z80" i="7" s="1"/>
  <c r="V120" i="7"/>
  <c r="Z120" i="7" s="1"/>
  <c r="V56" i="7"/>
  <c r="Z56" i="7" s="1"/>
  <c r="V58" i="7"/>
  <c r="Z58" i="7" s="1"/>
  <c r="V139" i="7"/>
  <c r="Z139" i="7" s="1"/>
  <c r="V96" i="7"/>
  <c r="Z96" i="7" s="1"/>
  <c r="V128" i="7"/>
  <c r="Z128" i="7" s="1"/>
  <c r="V66" i="7"/>
  <c r="Z66" i="7" s="1"/>
  <c r="V68" i="7"/>
  <c r="Z68" i="7" s="1"/>
  <c r="K84" i="1"/>
  <c r="O22" i="1"/>
  <c r="D26" i="13"/>
  <c r="M7" i="3" l="1"/>
  <c r="O23" i="1"/>
  <c r="K53" i="3"/>
  <c r="F87" i="10"/>
  <c r="G87" i="10"/>
  <c r="D28" i="13"/>
  <c r="L36" i="11"/>
  <c r="G54" i="11" s="1"/>
  <c r="K101" i="1"/>
  <c r="G40" i="3"/>
  <c r="G95" i="1" s="1"/>
  <c r="E52" i="3"/>
  <c r="E53" i="3" s="1"/>
  <c r="D7" i="13"/>
  <c r="G39" i="3"/>
  <c r="B51" i="1" s="1"/>
  <c r="K112" i="7"/>
  <c r="K56" i="1"/>
  <c r="K36" i="1" s="1"/>
  <c r="K24" i="2"/>
  <c r="N111" i="7"/>
  <c r="C83" i="7"/>
  <c r="D39" i="13"/>
  <c r="L69" i="11"/>
  <c r="G86" i="11" s="1"/>
  <c r="W53" i="7"/>
  <c r="W54" i="7" s="1"/>
  <c r="Y53" i="7"/>
  <c r="Y54" i="7" s="1"/>
  <c r="Y55" i="7" s="1"/>
  <c r="Y56" i="7" s="1"/>
  <c r="Y57" i="7" s="1"/>
  <c r="Y58" i="7" s="1"/>
  <c r="Y59" i="7" s="1"/>
  <c r="Y60" i="7" s="1"/>
  <c r="Y61" i="7" s="1"/>
  <c r="Y62" i="7" s="1"/>
  <c r="Y63" i="7" s="1"/>
  <c r="Y64" i="7" s="1"/>
  <c r="Y65" i="7" s="1"/>
  <c r="Y66" i="7" s="1"/>
  <c r="Y67" i="7" s="1"/>
  <c r="Y68" i="7" s="1"/>
  <c r="Y69" i="7" s="1"/>
  <c r="Y70" i="7" s="1"/>
  <c r="Y71" i="7" s="1"/>
  <c r="Y72" i="7" s="1"/>
  <c r="Y73" i="7" s="1"/>
  <c r="Y74" i="7" s="1"/>
  <c r="Y75" i="7" s="1"/>
  <c r="Y76" i="7" s="1"/>
  <c r="Y77" i="7" s="1"/>
  <c r="Y78" i="7" s="1"/>
  <c r="Y79" i="7" s="1"/>
  <c r="Y80" i="7" s="1"/>
  <c r="Y81" i="7" s="1"/>
  <c r="Y82" i="7" s="1"/>
  <c r="Y83" i="7" s="1"/>
  <c r="Y84" i="7" s="1"/>
  <c r="Y85" i="7" s="1"/>
  <c r="Y86" i="7" s="1"/>
  <c r="Y87" i="7" s="1"/>
  <c r="Y88" i="7" s="1"/>
  <c r="Y89" i="7" s="1"/>
  <c r="Y90" i="7" s="1"/>
  <c r="Y91" i="7" s="1"/>
  <c r="Y92" i="7" s="1"/>
  <c r="Y93" i="7" s="1"/>
  <c r="Y94" i="7" s="1"/>
  <c r="Y95" i="7" s="1"/>
  <c r="Y96" i="7" s="1"/>
  <c r="Y97" i="7" s="1"/>
  <c r="Y98" i="7" s="1"/>
  <c r="Y99" i="7" s="1"/>
  <c r="Y100" i="7" s="1"/>
  <c r="Y101" i="7" s="1"/>
  <c r="Y102" i="7" s="1"/>
  <c r="Y103" i="7" s="1"/>
  <c r="Y104" i="7" s="1"/>
  <c r="Y105" i="7" s="1"/>
  <c r="Y106" i="7" s="1"/>
  <c r="Y107" i="7" s="1"/>
  <c r="Y108" i="7" s="1"/>
  <c r="Y109" i="7" s="1"/>
  <c r="Y110" i="7" s="1"/>
  <c r="Y111" i="7" s="1"/>
  <c r="Y112" i="7" s="1"/>
  <c r="Y113" i="7" s="1"/>
  <c r="Y114" i="7" s="1"/>
  <c r="Y115" i="7" s="1"/>
  <c r="Y116" i="7" s="1"/>
  <c r="Y117" i="7" s="1"/>
  <c r="Y118" i="7" s="1"/>
  <c r="Y119" i="7" s="1"/>
  <c r="Y120" i="7" s="1"/>
  <c r="Y121" i="7" s="1"/>
  <c r="Y122" i="7" s="1"/>
  <c r="Y123" i="7" s="1"/>
  <c r="Y124" i="7" s="1"/>
  <c r="Y125" i="7" s="1"/>
  <c r="Y126" i="7" s="1"/>
  <c r="Y127" i="7" s="1"/>
  <c r="Y128" i="7" s="1"/>
  <c r="Y129" i="7" s="1"/>
  <c r="Y130" i="7" s="1"/>
  <c r="Y131" i="7" s="1"/>
  <c r="Y132" i="7" s="1"/>
  <c r="Y133" i="7" s="1"/>
  <c r="Y134" i="7" s="1"/>
  <c r="Y135" i="7" s="1"/>
  <c r="Y136" i="7" s="1"/>
  <c r="Y137" i="7" s="1"/>
  <c r="Y138" i="7" s="1"/>
  <c r="Y139" i="7" s="1"/>
  <c r="Y140" i="7" s="1"/>
  <c r="Y141" i="7" s="1"/>
  <c r="Y142" i="7" s="1"/>
  <c r="Y143" i="7" s="1"/>
  <c r="Y144" i="7" s="1"/>
  <c r="Y145" i="7" s="1"/>
  <c r="Y146" i="7" s="1"/>
  <c r="Y147" i="7" s="1"/>
  <c r="Y148" i="7" s="1"/>
  <c r="Y149" i="7" s="1"/>
  <c r="Y150" i="7" s="1"/>
  <c r="Y151" i="7" s="1"/>
  <c r="Y152" i="7" s="1"/>
  <c r="AB53" i="7"/>
  <c r="AB54" i="7" s="1"/>
  <c r="AB55" i="7" s="1"/>
  <c r="AB56" i="7" s="1"/>
  <c r="AB57" i="7" s="1"/>
  <c r="AB58" i="7" s="1"/>
  <c r="AB59" i="7" s="1"/>
  <c r="AB60" i="7" s="1"/>
  <c r="AB61" i="7" s="1"/>
  <c r="AB62" i="7" s="1"/>
  <c r="AB63" i="7" s="1"/>
  <c r="AB64" i="7" s="1"/>
  <c r="AB65" i="7" s="1"/>
  <c r="AB66" i="7" s="1"/>
  <c r="AB67" i="7" s="1"/>
  <c r="AB68" i="7" s="1"/>
  <c r="AB69" i="7" s="1"/>
  <c r="AB70" i="7" s="1"/>
  <c r="AB71" i="7" s="1"/>
  <c r="AB72" i="7" s="1"/>
  <c r="AB73" i="7" s="1"/>
  <c r="AB74" i="7" s="1"/>
  <c r="AB75" i="7" s="1"/>
  <c r="AB76" i="7" s="1"/>
  <c r="AB77" i="7" s="1"/>
  <c r="AB78" i="7" s="1"/>
  <c r="AB79" i="7" s="1"/>
  <c r="AB80" i="7" s="1"/>
  <c r="AB81" i="7" s="1"/>
  <c r="AB82" i="7" s="1"/>
  <c r="AB83" i="7" s="1"/>
  <c r="AB84" i="7" s="1"/>
  <c r="AB85" i="7" s="1"/>
  <c r="AB86" i="7" s="1"/>
  <c r="AB87" i="7" s="1"/>
  <c r="AB88" i="7" s="1"/>
  <c r="AB89" i="7" s="1"/>
  <c r="AB90" i="7" s="1"/>
  <c r="AB91" i="7" s="1"/>
  <c r="AB92" i="7" s="1"/>
  <c r="AB93" i="7" s="1"/>
  <c r="AB94" i="7" s="1"/>
  <c r="AB95" i="7" s="1"/>
  <c r="AB96" i="7" s="1"/>
  <c r="AB97" i="7" s="1"/>
  <c r="AB98" i="7" s="1"/>
  <c r="AB99" i="7" s="1"/>
  <c r="AB100" i="7" s="1"/>
  <c r="AB101" i="7" s="1"/>
  <c r="AB102" i="7" s="1"/>
  <c r="AB103" i="7" s="1"/>
  <c r="AB104" i="7" s="1"/>
  <c r="AB105" i="7" s="1"/>
  <c r="AB106" i="7" s="1"/>
  <c r="AB107" i="7" s="1"/>
  <c r="AB108" i="7" s="1"/>
  <c r="AB109" i="7" s="1"/>
  <c r="AB110" i="7" s="1"/>
  <c r="AC53" i="7"/>
  <c r="AC54" i="7" s="1"/>
  <c r="AC55" i="7" s="1"/>
  <c r="AC56" i="7" s="1"/>
  <c r="AC57" i="7" s="1"/>
  <c r="AC58" i="7" s="1"/>
  <c r="AC59" i="7" s="1"/>
  <c r="AC60" i="7" s="1"/>
  <c r="AC61" i="7" s="1"/>
  <c r="AC62" i="7" s="1"/>
  <c r="AC63" i="7" s="1"/>
  <c r="AC64" i="7" s="1"/>
  <c r="AC65" i="7" s="1"/>
  <c r="AC66" i="7" s="1"/>
  <c r="AC67" i="7" s="1"/>
  <c r="AC68" i="7" s="1"/>
  <c r="AC69" i="7" s="1"/>
  <c r="AC70" i="7" s="1"/>
  <c r="AC71" i="7" s="1"/>
  <c r="AC72" i="7" s="1"/>
  <c r="AC73" i="7" s="1"/>
  <c r="AC74" i="7" s="1"/>
  <c r="AC75" i="7" s="1"/>
  <c r="AC76" i="7" s="1"/>
  <c r="AC77" i="7" s="1"/>
  <c r="AC78" i="7" s="1"/>
  <c r="AC79" i="7" s="1"/>
  <c r="AC80" i="7" s="1"/>
  <c r="AC81" i="7" s="1"/>
  <c r="AC82" i="7" s="1"/>
  <c r="AC83" i="7" s="1"/>
  <c r="AC84" i="7" s="1"/>
  <c r="AC85" i="7" s="1"/>
  <c r="AC86" i="7" s="1"/>
  <c r="AC87" i="7" s="1"/>
  <c r="AC88" i="7" s="1"/>
  <c r="AC89" i="7" s="1"/>
  <c r="AC90" i="7" s="1"/>
  <c r="AC91" i="7" s="1"/>
  <c r="AC92" i="7" s="1"/>
  <c r="AC93" i="7" s="1"/>
  <c r="AC94" i="7" s="1"/>
  <c r="AC95" i="7" s="1"/>
  <c r="AC96" i="7" s="1"/>
  <c r="AC97" i="7" s="1"/>
  <c r="AC98" i="7" s="1"/>
  <c r="AC99" i="7" s="1"/>
  <c r="AC100" i="7" s="1"/>
  <c r="AC101" i="7" s="1"/>
  <c r="AC102" i="7" s="1"/>
  <c r="AC103" i="7" s="1"/>
  <c r="AC104" i="7" s="1"/>
  <c r="AC105" i="7" s="1"/>
  <c r="AC106" i="7" s="1"/>
  <c r="AC107" i="7" s="1"/>
  <c r="AC108" i="7" s="1"/>
  <c r="AC109" i="7" s="1"/>
  <c r="AC110" i="7" s="1"/>
  <c r="F61" i="13"/>
  <c r="K80" i="1" l="1"/>
  <c r="K90" i="1" s="1"/>
  <c r="M53" i="3"/>
  <c r="G7" i="3" s="1"/>
  <c r="D54" i="13"/>
  <c r="D51" i="13" s="1"/>
  <c r="D101" i="10"/>
  <c r="J54" i="11"/>
  <c r="L54" i="11" s="1"/>
  <c r="K45" i="1"/>
  <c r="F82" i="7"/>
  <c r="J86" i="11"/>
  <c r="L86" i="11" s="1"/>
  <c r="AB111" i="7"/>
  <c r="AB112" i="7" s="1"/>
  <c r="W55" i="7"/>
  <c r="AC111" i="7"/>
  <c r="AC112" i="7" s="1"/>
  <c r="AC113" i="7" s="1"/>
  <c r="AC114" i="7" s="1"/>
  <c r="AC115" i="7" s="1"/>
  <c r="AC116" i="7" s="1"/>
  <c r="AC117" i="7" s="1"/>
  <c r="AC118" i="7" s="1"/>
  <c r="AC119" i="7" s="1"/>
  <c r="AC120" i="7" s="1"/>
  <c r="AC121" i="7" s="1"/>
  <c r="AC122" i="7" s="1"/>
  <c r="AC123" i="7" s="1"/>
  <c r="AC124" i="7" s="1"/>
  <c r="AC125" i="7" s="1"/>
  <c r="AC126" i="7" s="1"/>
  <c r="AC127" i="7" s="1"/>
  <c r="AC128" i="7" s="1"/>
  <c r="AC129" i="7" s="1"/>
  <c r="AC130" i="7" s="1"/>
  <c r="AC131" i="7" s="1"/>
  <c r="AC132" i="7" s="1"/>
  <c r="AC133" i="7" s="1"/>
  <c r="AC134" i="7" s="1"/>
  <c r="AC135" i="7" s="1"/>
  <c r="AC136" i="7" s="1"/>
  <c r="AC137" i="7" s="1"/>
  <c r="AC138" i="7" s="1"/>
  <c r="AC139" i="7" s="1"/>
  <c r="AC140" i="7" s="1"/>
  <c r="AC141" i="7" s="1"/>
  <c r="AC142" i="7" s="1"/>
  <c r="AC143" i="7" s="1"/>
  <c r="AC144" i="7" s="1"/>
  <c r="AC145" i="7" s="1"/>
  <c r="AC146" i="7" s="1"/>
  <c r="AC147" i="7" s="1"/>
  <c r="AC148" i="7" s="1"/>
  <c r="AC149" i="7" s="1"/>
  <c r="AC150" i="7" s="1"/>
  <c r="AC151" i="7" s="1"/>
  <c r="AC152" i="7" s="1"/>
  <c r="L78" i="1" l="1"/>
  <c r="E40" i="3"/>
  <c r="M54" i="11"/>
  <c r="M86" i="11"/>
  <c r="AB113" i="7"/>
  <c r="W56" i="7"/>
  <c r="E94" i="1" l="1"/>
  <c r="F40" i="3"/>
  <c r="B7" i="3" s="1"/>
  <c r="AB114" i="7"/>
  <c r="W57" i="7"/>
  <c r="F42" i="11"/>
  <c r="D29" i="13"/>
  <c r="C61" i="13" s="1"/>
  <c r="C65" i="13" s="1"/>
  <c r="N6" i="2" l="1"/>
  <c r="N15" i="2"/>
  <c r="D7" i="3"/>
  <c r="E7" i="3" s="1"/>
  <c r="N14" i="2"/>
  <c r="O14" i="2" s="1"/>
  <c r="AB115" i="7"/>
  <c r="E39" i="3"/>
  <c r="E35" i="15"/>
  <c r="F35" i="15" s="1"/>
  <c r="W58" i="7"/>
  <c r="G52" i="11"/>
  <c r="G49" i="11"/>
  <c r="E9" i="11" l="1"/>
  <c r="E9" i="15"/>
  <c r="E9" i="10"/>
  <c r="F6" i="2"/>
  <c r="E9" i="18"/>
  <c r="N23" i="2"/>
  <c r="O23" i="2" s="1"/>
  <c r="F15" i="2"/>
  <c r="G15" i="2" s="1"/>
  <c r="O15" i="2"/>
  <c r="E17" i="15"/>
  <c r="F17" i="15" s="1"/>
  <c r="F14" i="2"/>
  <c r="G14" i="2" s="1"/>
  <c r="N34" i="3"/>
  <c r="C7" i="3"/>
  <c r="D50" i="1"/>
  <c r="F75" i="11"/>
  <c r="F39" i="3"/>
  <c r="N16" i="2" s="1"/>
  <c r="D40" i="13"/>
  <c r="C62" i="13" s="1"/>
  <c r="AB116" i="7"/>
  <c r="AB117" i="7" s="1"/>
  <c r="AB118" i="7" s="1"/>
  <c r="AB119" i="7" s="1"/>
  <c r="AB120" i="7" s="1"/>
  <c r="AB121" i="7" s="1"/>
  <c r="AB122" i="7" s="1"/>
  <c r="AB123" i="7" s="1"/>
  <c r="AB124" i="7" s="1"/>
  <c r="AB125" i="7" s="1"/>
  <c r="AB126" i="7" s="1"/>
  <c r="AB127" i="7" s="1"/>
  <c r="AB128" i="7" s="1"/>
  <c r="AB129" i="7" s="1"/>
  <c r="AB130" i="7" s="1"/>
  <c r="AB131" i="7" s="1"/>
  <c r="AB132" i="7" s="1"/>
  <c r="AB133" i="7" s="1"/>
  <c r="AB134" i="7" s="1"/>
  <c r="AB135" i="7" s="1"/>
  <c r="AB136" i="7" s="1"/>
  <c r="AB137" i="7" s="1"/>
  <c r="AB138" i="7" s="1"/>
  <c r="AB139" i="7" s="1"/>
  <c r="AB140" i="7" s="1"/>
  <c r="AB141" i="7" s="1"/>
  <c r="AB142" i="7" s="1"/>
  <c r="AB143" i="7" s="1"/>
  <c r="AB144" i="7" s="1"/>
  <c r="AB145" i="7" s="1"/>
  <c r="AB146" i="7" s="1"/>
  <c r="AB147" i="7" s="1"/>
  <c r="AB148" i="7" s="1"/>
  <c r="AB149" i="7" s="1"/>
  <c r="AB150" i="7" s="1"/>
  <c r="AB151" i="7" s="1"/>
  <c r="AB152" i="7" s="1"/>
  <c r="E41" i="3"/>
  <c r="W59" i="7"/>
  <c r="J52" i="11"/>
  <c r="J49" i="11"/>
  <c r="N27" i="2" l="1"/>
  <c r="N28" i="2"/>
  <c r="E19" i="15"/>
  <c r="F19" i="15" s="1"/>
  <c r="E36" i="15"/>
  <c r="F36" i="15" s="1"/>
  <c r="O16" i="2"/>
  <c r="D6" i="13"/>
  <c r="D13" i="13"/>
  <c r="D14" i="13"/>
  <c r="E37" i="15"/>
  <c r="F37" i="15" s="1"/>
  <c r="N26" i="2"/>
  <c r="E26" i="15" s="1"/>
  <c r="F26" i="15" s="1"/>
  <c r="G37" i="15" s="1"/>
  <c r="O26" i="2"/>
  <c r="E40" i="15"/>
  <c r="F40" i="15" s="1"/>
  <c r="F26" i="2"/>
  <c r="G26" i="2" s="1"/>
  <c r="E38" i="15"/>
  <c r="F38" i="15" s="1"/>
  <c r="D43" i="13"/>
  <c r="C63" i="13" s="1"/>
  <c r="G107" i="11"/>
  <c r="G114" i="11" s="1"/>
  <c r="G84" i="11"/>
  <c r="J84" i="11" s="1"/>
  <c r="G81" i="11"/>
  <c r="J81" i="11" s="1"/>
  <c r="W60" i="7"/>
  <c r="M49" i="11"/>
  <c r="L49" i="11"/>
  <c r="M52" i="11"/>
  <c r="L52" i="11"/>
  <c r="G117" i="11" l="1"/>
  <c r="E27" i="15"/>
  <c r="F27" i="15" s="1"/>
  <c r="G38" i="15" s="1"/>
  <c r="H38" i="15" s="1"/>
  <c r="O27" i="2"/>
  <c r="F27" i="2"/>
  <c r="G27" i="2" s="1"/>
  <c r="F28" i="2"/>
  <c r="G28" i="2" s="1"/>
  <c r="O28" i="2"/>
  <c r="E28" i="15"/>
  <c r="F28" i="15" s="1"/>
  <c r="G39" i="15" s="1"/>
  <c r="H39" i="15" s="1"/>
  <c r="H37" i="15"/>
  <c r="N21" i="2"/>
  <c r="O21" i="2" s="1"/>
  <c r="E18" i="15"/>
  <c r="F18" i="15" s="1"/>
  <c r="N19" i="2"/>
  <c r="N20" i="2"/>
  <c r="F16" i="2"/>
  <c r="G16" i="2" s="1"/>
  <c r="N17" i="2"/>
  <c r="O17" i="2" s="1"/>
  <c r="N18" i="2"/>
  <c r="O18" i="2" s="1"/>
  <c r="M81" i="11"/>
  <c r="L81" i="11"/>
  <c r="M84" i="11"/>
  <c r="L84" i="11"/>
  <c r="J114" i="11"/>
  <c r="W61" i="7"/>
  <c r="G122" i="11" l="1"/>
  <c r="D31" i="11" s="1"/>
  <c r="J117" i="11"/>
  <c r="F47" i="7"/>
  <c r="F49" i="7"/>
  <c r="N49" i="7"/>
  <c r="N47" i="7"/>
  <c r="C47" i="7"/>
  <c r="C49" i="7"/>
  <c r="K47" i="7"/>
  <c r="K49" i="7"/>
  <c r="M114" i="11"/>
  <c r="L114" i="11"/>
  <c r="F18" i="2"/>
  <c r="G18" i="2" s="1"/>
  <c r="E21" i="15"/>
  <c r="F21" i="15" s="1"/>
  <c r="O19" i="2"/>
  <c r="E22" i="15"/>
  <c r="F22" i="15" s="1"/>
  <c r="F19" i="2"/>
  <c r="G19" i="2" s="1"/>
  <c r="F17" i="2"/>
  <c r="G17" i="2" s="1"/>
  <c r="E23" i="15"/>
  <c r="F23" i="15" s="1"/>
  <c r="E24" i="15"/>
  <c r="F24" i="15" s="1"/>
  <c r="F20" i="2"/>
  <c r="G20" i="2" s="1"/>
  <c r="O20" i="2"/>
  <c r="E25" i="15"/>
  <c r="F21" i="2"/>
  <c r="G21" i="2" s="1"/>
  <c r="W62" i="7"/>
  <c r="G87" i="11" l="1"/>
  <c r="J87" i="11" s="1"/>
  <c r="L87" i="11" s="1"/>
  <c r="L94" i="11" s="1"/>
  <c r="N24" i="2"/>
  <c r="O24" i="2" s="1"/>
  <c r="G55" i="11"/>
  <c r="J55" i="11" s="1"/>
  <c r="L55" i="11" s="1"/>
  <c r="L63" i="11" s="1"/>
  <c r="N13" i="2"/>
  <c r="E11" i="15" s="1"/>
  <c r="F11" i="15" s="1"/>
  <c r="L117" i="11"/>
  <c r="L122" i="11" s="1"/>
  <c r="E31" i="11" s="1"/>
  <c r="M117" i="11"/>
  <c r="M122" i="11" s="1"/>
  <c r="F31" i="11" s="1"/>
  <c r="F25" i="15"/>
  <c r="W63" i="7"/>
  <c r="G94" i="11" l="1"/>
  <c r="M87" i="11"/>
  <c r="M94" i="11" s="1"/>
  <c r="M55" i="11"/>
  <c r="M63" i="11" s="1"/>
  <c r="G63" i="11"/>
  <c r="E20" i="15"/>
  <c r="F20" i="15" s="1"/>
  <c r="O13" i="2"/>
  <c r="G36" i="15"/>
  <c r="H36" i="15" s="1"/>
  <c r="W64" i="7"/>
  <c r="W65" i="7" l="1"/>
  <c r="W66" i="7" l="1"/>
  <c r="W67" i="7" l="1"/>
  <c r="W68" i="7" l="1"/>
  <c r="W69" i="7" l="1"/>
  <c r="W70" i="7" l="1"/>
  <c r="W71" i="7" l="1"/>
  <c r="W72" i="7" l="1"/>
  <c r="W73" i="7" l="1"/>
  <c r="W74" i="7" l="1"/>
  <c r="W75" i="7" l="1"/>
  <c r="W76" i="7" l="1"/>
  <c r="W77" i="7" l="1"/>
  <c r="W78" i="7" l="1"/>
  <c r="W79" i="7" l="1"/>
  <c r="W80" i="7" l="1"/>
  <c r="W81" i="7" l="1"/>
  <c r="W82" i="7" l="1"/>
  <c r="W83" i="7" l="1"/>
  <c r="W84" i="7" l="1"/>
  <c r="W85" i="7" l="1"/>
  <c r="W86" i="7" l="1"/>
  <c r="W87" i="7" l="1"/>
  <c r="W88" i="7" l="1"/>
  <c r="W89" i="7" l="1"/>
  <c r="W90" i="7" l="1"/>
  <c r="W91" i="7" l="1"/>
  <c r="W92" i="7" l="1"/>
  <c r="W93" i="7" l="1"/>
  <c r="W94" i="7" l="1"/>
  <c r="W95" i="7" l="1"/>
  <c r="W96" i="7" l="1"/>
  <c r="W97" i="7" l="1"/>
  <c r="W98" i="7" l="1"/>
  <c r="W99" i="7" l="1"/>
  <c r="W100" i="7" l="1"/>
  <c r="W101" i="7" l="1"/>
  <c r="W102" i="7" l="1"/>
  <c r="W103" i="7" l="1"/>
  <c r="W104" i="7" l="1"/>
  <c r="W105" i="7" l="1"/>
  <c r="W106" i="7" l="1"/>
  <c r="W107" i="7" l="1"/>
  <c r="W108" i="7" l="1"/>
  <c r="W109" i="7" l="1"/>
  <c r="W110" i="7" l="1"/>
  <c r="W111" i="7" l="1"/>
  <c r="W112" i="7" l="1"/>
  <c r="W113" i="7" s="1"/>
  <c r="W114" i="7" s="1"/>
  <c r="W115" i="7" s="1"/>
  <c r="W116" i="7" s="1"/>
  <c r="W117" i="7" s="1"/>
  <c r="W118" i="7" s="1"/>
  <c r="W119" i="7" s="1"/>
  <c r="W120" i="7" s="1"/>
  <c r="W121" i="7" s="1"/>
  <c r="W122" i="7" s="1"/>
  <c r="W123" i="7" s="1"/>
  <c r="W124" i="7" s="1"/>
  <c r="W125" i="7" s="1"/>
  <c r="W126" i="7" s="1"/>
  <c r="W127" i="7" s="1"/>
  <c r="W128" i="7" s="1"/>
  <c r="W129" i="7" s="1"/>
  <c r="W130" i="7" s="1"/>
  <c r="W131" i="7" s="1"/>
  <c r="W132" i="7" s="1"/>
  <c r="W133" i="7" s="1"/>
  <c r="W134" i="7" s="1"/>
  <c r="W135" i="7" s="1"/>
  <c r="W136" i="7" s="1"/>
  <c r="W137" i="7" s="1"/>
  <c r="W138" i="7" s="1"/>
  <c r="W139" i="7" s="1"/>
  <c r="W140" i="7" s="1"/>
  <c r="W141" i="7" s="1"/>
  <c r="W142" i="7" s="1"/>
  <c r="W143" i="7" s="1"/>
  <c r="W144" i="7" s="1"/>
  <c r="W145" i="7" s="1"/>
  <c r="W146" i="7" s="1"/>
  <c r="W147" i="7" s="1"/>
  <c r="W148" i="7" s="1"/>
  <c r="W149" i="7" s="1"/>
  <c r="W150" i="7" s="1"/>
  <c r="W151" i="7" s="1"/>
  <c r="W152" i="7" s="1"/>
  <c r="K70" i="1" l="1"/>
  <c r="K60" i="1" l="1"/>
  <c r="L72" i="11"/>
  <c r="K40" i="1" l="1"/>
  <c r="G83" i="11"/>
  <c r="G80" i="11"/>
  <c r="L34" i="1" l="1"/>
  <c r="K23" i="2" s="1"/>
  <c r="F23" i="2" s="1"/>
  <c r="G23" i="2" s="1"/>
  <c r="G93" i="11"/>
  <c r="J83" i="11"/>
  <c r="G92" i="11"/>
  <c r="J80" i="11"/>
  <c r="G95" i="11" l="1"/>
  <c r="D30" i="11" s="1"/>
  <c r="L83" i="11"/>
  <c r="L93" i="11" s="1"/>
  <c r="M83" i="11"/>
  <c r="M93" i="11" s="1"/>
  <c r="M80" i="11"/>
  <c r="M92" i="11" s="1"/>
  <c r="L80" i="11"/>
  <c r="L92" i="11" s="1"/>
  <c r="L95" i="11" l="1"/>
  <c r="E30" i="11" s="1"/>
  <c r="M95" i="11"/>
  <c r="F30" i="11" s="1"/>
  <c r="K116" i="1"/>
  <c r="N12" i="2" l="1"/>
  <c r="O12" i="2" s="1"/>
  <c r="F9" i="15"/>
  <c r="K105" i="1"/>
  <c r="K110" i="1"/>
  <c r="L39" i="11"/>
  <c r="G48" i="11" s="1"/>
  <c r="O6" i="2" l="1"/>
  <c r="G6" i="2"/>
  <c r="N10" i="2"/>
  <c r="O10" i="2" s="1"/>
  <c r="N7" i="2"/>
  <c r="O7" i="2" s="1"/>
  <c r="N9" i="2"/>
  <c r="N8" i="2"/>
  <c r="E16" i="15" s="1"/>
  <c r="F16" i="15" s="1"/>
  <c r="Q20" i="1"/>
  <c r="E10" i="15"/>
  <c r="F10" i="15" s="1"/>
  <c r="G51" i="11"/>
  <c r="J48" i="11"/>
  <c r="G61" i="11"/>
  <c r="F9" i="2" l="1"/>
  <c r="G9" i="2" s="1"/>
  <c r="O9" i="2"/>
  <c r="F7" i="2"/>
  <c r="G7" i="2" s="1"/>
  <c r="F10" i="2"/>
  <c r="G10" i="2" s="1"/>
  <c r="E14" i="15"/>
  <c r="F14" i="15" s="1"/>
  <c r="E13" i="15"/>
  <c r="F13" i="15" s="1"/>
  <c r="E12" i="15"/>
  <c r="F12" i="15" s="1"/>
  <c r="O8" i="2"/>
  <c r="F8" i="2"/>
  <c r="G8" i="2" s="1"/>
  <c r="N47" i="2"/>
  <c r="L48" i="11"/>
  <c r="L61" i="11" s="1"/>
  <c r="M48" i="11"/>
  <c r="M61" i="11" s="1"/>
  <c r="G62" i="11"/>
  <c r="G64" i="11" s="1"/>
  <c r="D29" i="11" s="1"/>
  <c r="D32" i="11" s="1"/>
  <c r="J51" i="11"/>
  <c r="K12" i="2"/>
  <c r="D27" i="13"/>
  <c r="F65" i="13" s="1"/>
  <c r="Q15" i="2" l="1"/>
  <c r="H7" i="3"/>
  <c r="D15" i="13" s="1"/>
  <c r="F12" i="2"/>
  <c r="G12" i="2" s="1"/>
  <c r="Q12" i="2"/>
  <c r="Q14" i="2"/>
  <c r="O47" i="2"/>
  <c r="P15" i="2" s="1"/>
  <c r="Q29" i="2"/>
  <c r="Q7" i="2"/>
  <c r="D16" i="13"/>
  <c r="Q17" i="2"/>
  <c r="G35" i="15"/>
  <c r="H35" i="15" s="1"/>
  <c r="H41" i="15" s="1"/>
  <c r="O34" i="3" s="1"/>
  <c r="F30" i="15"/>
  <c r="F5" i="15" s="1"/>
  <c r="F6" i="15" s="1"/>
  <c r="Q43" i="2"/>
  <c r="Q35" i="2"/>
  <c r="Q40" i="2"/>
  <c r="Q41" i="2"/>
  <c r="Q32" i="2"/>
  <c r="Q26" i="2"/>
  <c r="Q9" i="2"/>
  <c r="Q6" i="2"/>
  <c r="Q39" i="2"/>
  <c r="Q20" i="2"/>
  <c r="Q34" i="2"/>
  <c r="Q31" i="2"/>
  <c r="Q23" i="2"/>
  <c r="Q16" i="2"/>
  <c r="Q18" i="2"/>
  <c r="Q25" i="2"/>
  <c r="Q24" i="2"/>
  <c r="Q42" i="2"/>
  <c r="Q19" i="2"/>
  <c r="Q8" i="2"/>
  <c r="Q10" i="2"/>
  <c r="Q21" i="2"/>
  <c r="Q30" i="2"/>
  <c r="Q13" i="2"/>
  <c r="Q37" i="2"/>
  <c r="Q36" i="2"/>
  <c r="Q33" i="2"/>
  <c r="Q44" i="2"/>
  <c r="Q38" i="2"/>
  <c r="G15" i="11"/>
  <c r="L51" i="11"/>
  <c r="L62" i="11" s="1"/>
  <c r="L64" i="11" s="1"/>
  <c r="E29" i="11" s="1"/>
  <c r="E32" i="11" s="1"/>
  <c r="H15" i="11" s="1"/>
  <c r="M51" i="11"/>
  <c r="M62" i="11" s="1"/>
  <c r="M64" i="11" s="1"/>
  <c r="F29" i="11" s="1"/>
  <c r="F32" i="11" s="1"/>
  <c r="P17" i="2" l="1"/>
  <c r="O48" i="2"/>
  <c r="M34" i="3"/>
  <c r="L34" i="3"/>
  <c r="P33" i="2"/>
  <c r="P39" i="2"/>
  <c r="P24" i="2"/>
  <c r="P22" i="2"/>
  <c r="P32" i="2"/>
  <c r="P7" i="2"/>
  <c r="P21" i="2"/>
  <c r="P42" i="2"/>
  <c r="P29" i="2"/>
  <c r="P10" i="2"/>
  <c r="P38" i="2"/>
  <c r="P25" i="2"/>
  <c r="P13" i="2"/>
  <c r="P12" i="2"/>
  <c r="P14" i="2"/>
  <c r="P36" i="2"/>
  <c r="P11" i="2"/>
  <c r="P18" i="2"/>
  <c r="P30" i="2"/>
  <c r="P37" i="2"/>
  <c r="P8" i="2"/>
  <c r="P6" i="2"/>
  <c r="P43" i="2"/>
  <c r="P16" i="2"/>
  <c r="P26" i="2"/>
  <c r="P40" i="2"/>
  <c r="P35" i="2"/>
  <c r="P9" i="2"/>
  <c r="P41" i="2"/>
  <c r="P23" i="2"/>
  <c r="P19" i="2"/>
  <c r="P44" i="2"/>
  <c r="P31" i="2"/>
  <c r="P34" i="2"/>
  <c r="P20" i="2"/>
  <c r="K34" i="3"/>
  <c r="P34" i="3"/>
  <c r="G19" i="11"/>
  <c r="K15" i="11"/>
  <c r="K19" i="11" l="1"/>
  <c r="L19" i="11" s="1"/>
  <c r="O15" i="11"/>
  <c r="O19" i="11" s="1"/>
  <c r="Q19" i="11" s="1"/>
  <c r="F7" i="11" s="1"/>
  <c r="M15" i="11"/>
  <c r="L15" i="11"/>
  <c r="D7" i="11"/>
  <c r="M19" i="11" l="1"/>
  <c r="P19" i="11"/>
  <c r="E7" i="11" s="1"/>
  <c r="Q15" i="11"/>
  <c r="P15" i="11"/>
</calcChain>
</file>

<file path=xl/comments1.xml><?xml version="1.0" encoding="utf-8"?>
<comments xmlns="http://schemas.openxmlformats.org/spreadsheetml/2006/main">
  <authors>
    <author>Li ZhongHong</author>
    <author>An TaiHua</author>
  </authors>
  <commentList>
    <comment ref="C6" authorId="0">
      <text>
        <r>
          <rPr>
            <b/>
            <sz val="9"/>
            <color indexed="81"/>
            <rFont val="宋体"/>
            <family val="3"/>
            <charset val="134"/>
          </rPr>
          <t>Li ZhongHong:</t>
        </r>
        <r>
          <rPr>
            <sz val="9"/>
            <color indexed="81"/>
            <rFont val="宋体"/>
            <family val="3"/>
            <charset val="134"/>
          </rPr>
          <t xml:space="preserve">
根据3σ计算</t>
        </r>
      </text>
    </comment>
    <comment ref="E6" authorId="0">
      <text>
        <r>
          <rPr>
            <b/>
            <sz val="9"/>
            <color indexed="81"/>
            <rFont val="宋体"/>
            <family val="3"/>
            <charset val="134"/>
          </rPr>
          <t>Li ZhongHong:</t>
        </r>
        <r>
          <rPr>
            <sz val="9"/>
            <color indexed="81"/>
            <rFont val="宋体"/>
            <family val="3"/>
            <charset val="134"/>
          </rPr>
          <t xml:space="preserve">
根据3σ计算</t>
        </r>
      </text>
    </comment>
    <comment ref="J6" authorId="0">
      <text>
        <r>
          <rPr>
            <b/>
            <sz val="9"/>
            <color indexed="81"/>
            <rFont val="宋体"/>
            <family val="3"/>
            <charset val="134"/>
          </rPr>
          <t>Li ZhongHong:</t>
        </r>
        <r>
          <rPr>
            <sz val="9"/>
            <color indexed="81"/>
            <rFont val="宋体"/>
            <family val="3"/>
            <charset val="134"/>
          </rPr>
          <t xml:space="preserve">
含内圈隔膜</t>
        </r>
      </text>
    </comment>
    <comment ref="M6" authorId="0">
      <text>
        <r>
          <rPr>
            <b/>
            <sz val="9"/>
            <color indexed="81"/>
            <rFont val="宋体"/>
            <family val="3"/>
            <charset val="134"/>
          </rPr>
          <t>Li ZhongHong:</t>
        </r>
        <r>
          <rPr>
            <sz val="9"/>
            <color indexed="81"/>
            <rFont val="宋体"/>
            <family val="3"/>
            <charset val="134"/>
          </rPr>
          <t xml:space="preserve">
注：当前关于方形热压的工艺尚不成熟，相关参数仅供参考</t>
        </r>
      </text>
    </comment>
    <comment ref="E10" authorId="0">
      <text>
        <r>
          <rPr>
            <b/>
            <sz val="9"/>
            <color indexed="81"/>
            <rFont val="宋体"/>
            <family val="3"/>
            <charset val="134"/>
          </rPr>
          <t>Li ZhongHong:</t>
        </r>
        <r>
          <rPr>
            <sz val="9"/>
            <color indexed="81"/>
            <rFont val="宋体"/>
            <family val="3"/>
            <charset val="134"/>
          </rPr>
          <t xml:space="preserve">
电芯主体高度</t>
        </r>
      </text>
    </comment>
    <comment ref="B11" authorId="0">
      <text>
        <r>
          <rPr>
            <b/>
            <sz val="9"/>
            <color indexed="81"/>
            <rFont val="宋体"/>
            <family val="3"/>
            <charset val="134"/>
          </rPr>
          <t>Li ZhongHong:</t>
        </r>
        <r>
          <rPr>
            <sz val="9"/>
            <color indexed="81"/>
            <rFont val="宋体"/>
            <family val="3"/>
            <charset val="134"/>
          </rPr>
          <t xml:space="preserve">
在“机械件数据库”中添加新model信息后，本框中自动出现选项</t>
        </r>
      </text>
    </comment>
    <comment ref="D14" authorId="0">
      <text>
        <r>
          <rPr>
            <b/>
            <sz val="9"/>
            <color indexed="81"/>
            <rFont val="宋体"/>
            <family val="3"/>
            <charset val="134"/>
          </rPr>
          <t>Li ZhongHong:</t>
        </r>
        <r>
          <rPr>
            <sz val="9"/>
            <color indexed="81"/>
            <rFont val="宋体"/>
            <family val="3"/>
            <charset val="134"/>
          </rPr>
          <t xml:space="preserve">
含单面区的总层数,一般为偶数</t>
        </r>
      </text>
    </comment>
    <comment ref="E14" authorId="0">
      <text>
        <r>
          <rPr>
            <b/>
            <sz val="9"/>
            <color indexed="81"/>
            <rFont val="宋体"/>
            <family val="3"/>
            <charset val="134"/>
          </rPr>
          <t>Li ZhongHong:</t>
        </r>
        <r>
          <rPr>
            <sz val="9"/>
            <color indexed="81"/>
            <rFont val="宋体"/>
            <family val="3"/>
            <charset val="134"/>
          </rPr>
          <t xml:space="preserve">
默认阴阳极极耳对称设计</t>
        </r>
      </text>
    </comment>
    <comment ref="I14" authorId="0">
      <text>
        <r>
          <rPr>
            <b/>
            <sz val="9"/>
            <color indexed="81"/>
            <rFont val="宋体"/>
            <family val="3"/>
            <charset val="134"/>
          </rPr>
          <t>Li ZhongHong:</t>
        </r>
        <r>
          <rPr>
            <sz val="9"/>
            <color indexed="81"/>
            <rFont val="宋体"/>
            <family val="3"/>
            <charset val="134"/>
          </rPr>
          <t xml:space="preserve">
参考理论计算值制定</t>
        </r>
      </text>
    </comment>
    <comment ref="E18" authorId="0">
      <text>
        <r>
          <rPr>
            <b/>
            <sz val="9"/>
            <color indexed="81"/>
            <rFont val="宋体"/>
            <family val="3"/>
            <charset val="134"/>
          </rPr>
          <t>Li ZhongHong:</t>
        </r>
        <r>
          <rPr>
            <sz val="9"/>
            <color indexed="81"/>
            <rFont val="宋体"/>
            <family val="3"/>
            <charset val="134"/>
          </rPr>
          <t xml:space="preserve">
阴极脱锂，阳极嵌锂</t>
        </r>
      </text>
    </comment>
    <comment ref="F18" authorId="0">
      <text>
        <r>
          <rPr>
            <b/>
            <sz val="9"/>
            <color indexed="81"/>
            <rFont val="宋体"/>
            <family val="3"/>
            <charset val="134"/>
          </rPr>
          <t>Li ZhongHong:</t>
        </r>
        <r>
          <rPr>
            <sz val="9"/>
            <color indexed="81"/>
            <rFont val="宋体"/>
            <family val="3"/>
            <charset val="134"/>
          </rPr>
          <t xml:space="preserve">
阴极嵌锂，阳极脱锂</t>
        </r>
      </text>
    </comment>
    <comment ref="C19" authorId="0">
      <text>
        <r>
          <rPr>
            <b/>
            <sz val="9"/>
            <color indexed="81"/>
            <rFont val="宋体"/>
            <family val="3"/>
            <charset val="134"/>
          </rPr>
          <t>Li ZhongHong:</t>
        </r>
        <r>
          <rPr>
            <sz val="9"/>
            <color indexed="81"/>
            <rFont val="宋体"/>
            <family val="3"/>
            <charset val="134"/>
          </rPr>
          <t xml:space="preserve">
在“材料数据库”中添加新材料信息后，本框中自动出现选项</t>
        </r>
      </text>
    </comment>
    <comment ref="C20" authorId="0">
      <text>
        <r>
          <rPr>
            <b/>
            <sz val="9"/>
            <color indexed="81"/>
            <rFont val="宋体"/>
            <family val="3"/>
            <charset val="134"/>
          </rPr>
          <t>Li ZhongHong:</t>
        </r>
        <r>
          <rPr>
            <sz val="9"/>
            <color indexed="81"/>
            <rFont val="宋体"/>
            <family val="3"/>
            <charset val="134"/>
          </rPr>
          <t xml:space="preserve">
在“材料数据库”中添加新材料信息后，本框中自动出现选项</t>
        </r>
      </text>
    </comment>
    <comment ref="D23" authorId="0">
      <text>
        <r>
          <rPr>
            <b/>
            <sz val="9"/>
            <color indexed="81"/>
            <rFont val="宋体"/>
            <family val="3"/>
            <charset val="134"/>
          </rPr>
          <t>Li ZhongHong:</t>
        </r>
        <r>
          <rPr>
            <sz val="9"/>
            <color indexed="81"/>
            <rFont val="宋体"/>
            <family val="3"/>
            <charset val="134"/>
          </rPr>
          <t xml:space="preserve">
热压后隔膜总厚度</t>
        </r>
      </text>
    </comment>
    <comment ref="C24" authorId="0">
      <text>
        <r>
          <rPr>
            <b/>
            <sz val="9"/>
            <color indexed="81"/>
            <rFont val="宋体"/>
            <family val="3"/>
            <charset val="134"/>
          </rPr>
          <t>Li ZhongHong:</t>
        </r>
        <r>
          <rPr>
            <sz val="9"/>
            <color indexed="81"/>
            <rFont val="宋体"/>
            <family val="3"/>
            <charset val="134"/>
          </rPr>
          <t xml:space="preserve">
在“材料数据库”中添加新材料信息后，本框中自动出现选项</t>
        </r>
      </text>
    </comment>
    <comment ref="F33" authorId="1">
      <text>
        <r>
          <rPr>
            <b/>
            <sz val="9"/>
            <color indexed="81"/>
            <rFont val="宋体"/>
            <family val="3"/>
            <charset val="134"/>
          </rPr>
          <t>An TaiHua:</t>
        </r>
        <r>
          <rPr>
            <sz val="9"/>
            <color indexed="81"/>
            <rFont val="宋体"/>
            <family val="3"/>
            <charset val="134"/>
          </rPr>
          <t xml:space="preserve">
默认阴阳极极耳对称设计</t>
        </r>
      </text>
    </comment>
    <comment ref="G33" authorId="0">
      <text>
        <r>
          <rPr>
            <b/>
            <sz val="9"/>
            <color indexed="81"/>
            <rFont val="宋体"/>
            <family val="3"/>
            <charset val="134"/>
          </rPr>
          <t>Li ZhongHong:</t>
        </r>
        <r>
          <rPr>
            <sz val="9"/>
            <color indexed="81"/>
            <rFont val="宋体"/>
            <family val="3"/>
            <charset val="134"/>
          </rPr>
          <t xml:space="preserve">
超出隔膜高度</t>
        </r>
      </text>
    </comment>
    <comment ref="O33" authorId="0">
      <text>
        <r>
          <rPr>
            <b/>
            <sz val="9"/>
            <color indexed="81"/>
            <rFont val="宋体"/>
            <family val="3"/>
            <charset val="134"/>
          </rPr>
          <t>Li ZhongHong:</t>
        </r>
        <r>
          <rPr>
            <sz val="9"/>
            <color indexed="81"/>
            <rFont val="宋体"/>
            <family val="3"/>
            <charset val="134"/>
          </rPr>
          <t xml:space="preserve">
正负极、隔离膜所吸收的电解液@化成后</t>
        </r>
      </text>
    </comment>
    <comment ref="P33" authorId="0">
      <text>
        <r>
          <rPr>
            <b/>
            <sz val="9"/>
            <color indexed="81"/>
            <rFont val="宋体"/>
            <family val="3"/>
            <charset val="134"/>
          </rPr>
          <t>Li ZhongHong:</t>
        </r>
        <r>
          <rPr>
            <sz val="9"/>
            <color indexed="81"/>
            <rFont val="宋体"/>
            <family val="3"/>
            <charset val="134"/>
          </rPr>
          <t xml:space="preserve">
整个壳体内腔所能容纳的最大电解液量</t>
        </r>
      </text>
    </comment>
    <comment ref="I34" authorId="0">
      <text>
        <r>
          <rPr>
            <b/>
            <sz val="9"/>
            <color indexed="81"/>
            <rFont val="宋体"/>
            <family val="3"/>
            <charset val="134"/>
          </rPr>
          <t>Li ZhongHong:</t>
        </r>
        <r>
          <rPr>
            <sz val="9"/>
            <color indexed="81"/>
            <rFont val="宋体"/>
            <family val="3"/>
            <charset val="134"/>
          </rPr>
          <t xml:space="preserve">
在“材料数据库”中添加新材料信息后，本框中自动出现选项</t>
        </r>
      </text>
    </comment>
    <comment ref="C35" authorId="0">
      <text>
        <r>
          <rPr>
            <b/>
            <sz val="9"/>
            <color indexed="81"/>
            <rFont val="宋体"/>
            <family val="3"/>
            <charset val="134"/>
          </rPr>
          <t>Li ZhongHong:</t>
        </r>
        <r>
          <rPr>
            <sz val="9"/>
            <color indexed="81"/>
            <rFont val="宋体"/>
            <family val="3"/>
            <charset val="134"/>
          </rPr>
          <t xml:space="preserve">
空卷隔膜一圈半</t>
        </r>
      </text>
    </comment>
    <comment ref="L44" authorId="1">
      <text>
        <r>
          <rPr>
            <b/>
            <sz val="9"/>
            <color indexed="81"/>
            <rFont val="宋体"/>
            <family val="3"/>
            <charset val="134"/>
          </rPr>
          <t>An TaiHua:</t>
        </r>
        <r>
          <rPr>
            <sz val="9"/>
            <color indexed="81"/>
            <rFont val="宋体"/>
            <family val="3"/>
            <charset val="134"/>
          </rPr>
          <t xml:space="preserve">
最大宽度；如用此宽度常规热压超宽时可用方形热压</t>
        </r>
      </text>
    </comment>
    <comment ref="E51" authorId="0">
      <text>
        <r>
          <rPr>
            <b/>
            <sz val="9"/>
            <color indexed="81"/>
            <rFont val="宋体"/>
            <family val="3"/>
            <charset val="134"/>
          </rPr>
          <t>Li ZhongHong:</t>
        </r>
        <r>
          <rPr>
            <sz val="9"/>
            <color indexed="81"/>
            <rFont val="宋体"/>
            <family val="3"/>
            <charset val="134"/>
          </rPr>
          <t xml:space="preserve">
默认宽度方向的膨胀与厚度方向相同</t>
        </r>
      </text>
    </comment>
  </commentList>
</comments>
</file>

<file path=xl/comments2.xml><?xml version="1.0" encoding="utf-8"?>
<comments xmlns="http://schemas.openxmlformats.org/spreadsheetml/2006/main">
  <authors>
    <author>Li ZhongHong</author>
    <author>An TaiHua</author>
  </authors>
  <commentList>
    <comment ref="C53" authorId="0">
      <text>
        <r>
          <rPr>
            <b/>
            <sz val="9"/>
            <color indexed="81"/>
            <rFont val="宋体"/>
            <family val="3"/>
            <charset val="134"/>
          </rPr>
          <t>Li ZhongHong:</t>
        </r>
        <r>
          <rPr>
            <sz val="9"/>
            <color indexed="81"/>
            <rFont val="宋体"/>
            <family val="3"/>
            <charset val="134"/>
          </rPr>
          <t xml:space="preserve">
第一个极耳在第二层</t>
        </r>
      </text>
    </comment>
    <comment ref="F53" authorId="0">
      <text>
        <r>
          <rPr>
            <b/>
            <sz val="9"/>
            <color indexed="81"/>
            <rFont val="宋体"/>
            <family val="3"/>
            <charset val="134"/>
          </rPr>
          <t>Li ZhongHong:</t>
        </r>
        <r>
          <rPr>
            <sz val="9"/>
            <color indexed="81"/>
            <rFont val="宋体"/>
            <family val="3"/>
            <charset val="134"/>
          </rPr>
          <t xml:space="preserve">
第一个极耳在第二层</t>
        </r>
      </text>
    </comment>
    <comment ref="K53" authorId="0">
      <text>
        <r>
          <rPr>
            <b/>
            <sz val="9"/>
            <color indexed="81"/>
            <rFont val="宋体"/>
            <family val="3"/>
            <charset val="134"/>
          </rPr>
          <t>Li ZhongHong:</t>
        </r>
        <r>
          <rPr>
            <sz val="9"/>
            <color indexed="81"/>
            <rFont val="宋体"/>
            <family val="3"/>
            <charset val="134"/>
          </rPr>
          <t xml:space="preserve">
第一个极耳在第二层</t>
        </r>
      </text>
    </comment>
    <comment ref="N53" authorId="1">
      <text>
        <r>
          <rPr>
            <b/>
            <sz val="9"/>
            <color indexed="81"/>
            <rFont val="宋体"/>
            <family val="3"/>
            <charset val="134"/>
          </rPr>
          <t>An TaiHua:</t>
        </r>
        <r>
          <rPr>
            <sz val="9"/>
            <color indexed="81"/>
            <rFont val="宋体"/>
            <family val="3"/>
            <charset val="134"/>
          </rPr>
          <t xml:space="preserve">
第一个极耳在第一层</t>
        </r>
      </text>
    </comment>
  </commentList>
</comments>
</file>

<file path=xl/comments3.xml><?xml version="1.0" encoding="utf-8"?>
<comments xmlns="http://schemas.openxmlformats.org/spreadsheetml/2006/main">
  <authors>
    <author>Li ZhongHong</author>
  </authors>
  <commentList>
    <comment ref="D50" authorId="0">
      <text>
        <r>
          <rPr>
            <b/>
            <sz val="9"/>
            <color indexed="81"/>
            <rFont val="宋体"/>
            <family val="3"/>
            <charset val="134"/>
          </rPr>
          <t>Li ZhongHong:</t>
        </r>
        <r>
          <rPr>
            <sz val="9"/>
            <color indexed="81"/>
            <rFont val="宋体"/>
            <family val="3"/>
            <charset val="134"/>
          </rPr>
          <t xml:space="preserve">
涂布长度，已考虑延展</t>
        </r>
      </text>
    </comment>
    <comment ref="B51" authorId="0">
      <text>
        <r>
          <rPr>
            <b/>
            <sz val="9"/>
            <color indexed="81"/>
            <rFont val="宋体"/>
            <family val="3"/>
            <charset val="134"/>
          </rPr>
          <t>Li ZhongHong:</t>
        </r>
        <r>
          <rPr>
            <sz val="9"/>
            <color indexed="81"/>
            <rFont val="宋体"/>
            <family val="3"/>
            <charset val="134"/>
          </rPr>
          <t xml:space="preserve">
涂布长度，已考虑延展</t>
        </r>
      </text>
    </comment>
    <comment ref="E94" authorId="0">
      <text>
        <r>
          <rPr>
            <b/>
            <sz val="9"/>
            <color indexed="81"/>
            <rFont val="宋体"/>
            <family val="3"/>
            <charset val="134"/>
          </rPr>
          <t>Li ZhongHong:</t>
        </r>
        <r>
          <rPr>
            <sz val="9"/>
            <color indexed="81"/>
            <rFont val="宋体"/>
            <family val="3"/>
            <charset val="134"/>
          </rPr>
          <t xml:space="preserve">
涂布长度，已考虑延展</t>
        </r>
      </text>
    </comment>
    <comment ref="G95" authorId="0">
      <text>
        <r>
          <rPr>
            <b/>
            <sz val="9"/>
            <color indexed="81"/>
            <rFont val="宋体"/>
            <family val="3"/>
            <charset val="134"/>
          </rPr>
          <t>Li ZhongHong:</t>
        </r>
        <r>
          <rPr>
            <sz val="9"/>
            <color indexed="81"/>
            <rFont val="宋体"/>
            <family val="3"/>
            <charset val="134"/>
          </rPr>
          <t xml:space="preserve">
涂布长度，已考虑延展</t>
        </r>
      </text>
    </comment>
  </commentList>
</comments>
</file>

<file path=xl/comments4.xml><?xml version="1.0" encoding="utf-8"?>
<comments xmlns="http://schemas.openxmlformats.org/spreadsheetml/2006/main">
  <authors>
    <author>An TaiHua</author>
    <author>Li ZhongHong</author>
  </authors>
  <commentList>
    <comment ref="F12" authorId="0">
      <text>
        <r>
          <rPr>
            <b/>
            <sz val="9"/>
            <color indexed="81"/>
            <rFont val="宋体"/>
            <family val="3"/>
            <charset val="134"/>
          </rPr>
          <t xml:space="preserve">An TaiHua:
</t>
        </r>
        <r>
          <rPr>
            <sz val="9"/>
            <color indexed="81"/>
            <rFont val="宋体"/>
            <family val="3"/>
            <charset val="134"/>
          </rPr>
          <t>总基材面积</t>
        </r>
      </text>
    </comment>
    <comment ref="K12" authorId="1">
      <text>
        <r>
          <rPr>
            <b/>
            <sz val="9"/>
            <color indexed="81"/>
            <rFont val="宋体"/>
            <family val="3"/>
            <charset val="134"/>
          </rPr>
          <t>Li ZhongHong:</t>
        </r>
        <r>
          <rPr>
            <sz val="9"/>
            <color indexed="81"/>
            <rFont val="宋体"/>
            <family val="3"/>
            <charset val="134"/>
          </rPr>
          <t xml:space="preserve">
基材总宽</t>
        </r>
      </text>
    </comment>
    <comment ref="K13" authorId="1">
      <text>
        <r>
          <rPr>
            <b/>
            <sz val="9"/>
            <color indexed="81"/>
            <rFont val="宋体"/>
            <family val="3"/>
            <charset val="134"/>
          </rPr>
          <t>Li ZhongHong:</t>
        </r>
        <r>
          <rPr>
            <sz val="9"/>
            <color indexed="81"/>
            <rFont val="宋体"/>
            <family val="3"/>
            <charset val="134"/>
          </rPr>
          <t xml:space="preserve">
极耳高</t>
        </r>
      </text>
    </comment>
    <comment ref="E14" authorId="0">
      <text>
        <r>
          <rPr>
            <b/>
            <sz val="9"/>
            <color indexed="81"/>
            <rFont val="宋体"/>
            <family val="3"/>
            <charset val="134"/>
          </rPr>
          <t>An TaiHua:</t>
        </r>
        <r>
          <rPr>
            <sz val="9"/>
            <color indexed="81"/>
            <rFont val="宋体"/>
            <family val="3"/>
            <charset val="134"/>
          </rPr>
          <t xml:space="preserve">
单位：g/m^2</t>
        </r>
      </text>
    </comment>
    <comment ref="N15" authorId="1">
      <text>
        <r>
          <rPr>
            <b/>
            <sz val="9"/>
            <color indexed="81"/>
            <rFont val="宋体"/>
            <family val="3"/>
            <charset val="134"/>
          </rPr>
          <t>Li ZhongHong:</t>
        </r>
        <r>
          <rPr>
            <sz val="9"/>
            <color indexed="81"/>
            <rFont val="宋体"/>
            <family val="3"/>
            <charset val="134"/>
          </rPr>
          <t xml:space="preserve">
默认单面涂布厚度30um
默认为总涂布量（未考虑模切切去的质量）</t>
        </r>
      </text>
    </comment>
    <comment ref="F23" authorId="0">
      <text>
        <r>
          <rPr>
            <b/>
            <sz val="9"/>
            <color indexed="81"/>
            <rFont val="宋体"/>
            <family val="3"/>
            <charset val="134"/>
          </rPr>
          <t>An TaiHua:</t>
        </r>
        <r>
          <rPr>
            <sz val="9"/>
            <color indexed="81"/>
            <rFont val="宋体"/>
            <family val="3"/>
            <charset val="134"/>
          </rPr>
          <t xml:space="preserve">
总基材面积</t>
        </r>
      </text>
    </comment>
    <comment ref="K23" authorId="1">
      <text>
        <r>
          <rPr>
            <b/>
            <sz val="9"/>
            <color indexed="81"/>
            <rFont val="宋体"/>
            <family val="3"/>
            <charset val="134"/>
          </rPr>
          <t>Li ZhongHong:</t>
        </r>
        <r>
          <rPr>
            <sz val="9"/>
            <color indexed="81"/>
            <rFont val="宋体"/>
            <family val="3"/>
            <charset val="134"/>
          </rPr>
          <t xml:space="preserve">
基材总宽</t>
        </r>
      </text>
    </comment>
    <comment ref="K24" authorId="1">
      <text>
        <r>
          <rPr>
            <b/>
            <sz val="9"/>
            <color indexed="81"/>
            <rFont val="宋体"/>
            <family val="3"/>
            <charset val="134"/>
          </rPr>
          <t>Li ZhongHong:</t>
        </r>
        <r>
          <rPr>
            <sz val="9"/>
            <color indexed="81"/>
            <rFont val="宋体"/>
            <family val="3"/>
            <charset val="134"/>
          </rPr>
          <t xml:space="preserve">
极耳高</t>
        </r>
      </text>
    </comment>
    <comment ref="F26" authorId="0">
      <text>
        <r>
          <rPr>
            <b/>
            <sz val="9"/>
            <color indexed="81"/>
            <rFont val="宋体"/>
            <family val="3"/>
            <charset val="134"/>
          </rPr>
          <t>An TaiHua:</t>
        </r>
        <r>
          <rPr>
            <sz val="9"/>
            <color indexed="81"/>
            <rFont val="宋体"/>
            <family val="3"/>
            <charset val="134"/>
          </rPr>
          <t xml:space="preserve">
面积</t>
        </r>
      </text>
    </comment>
  </commentList>
</comments>
</file>

<file path=xl/comments5.xml><?xml version="1.0" encoding="utf-8"?>
<comments xmlns="http://schemas.openxmlformats.org/spreadsheetml/2006/main">
  <authors>
    <author>Li ZhongHong</author>
  </authors>
  <commentList>
    <comment ref="E27" authorId="0">
      <text>
        <r>
          <rPr>
            <b/>
            <sz val="9"/>
            <color indexed="81"/>
            <rFont val="宋体"/>
            <family val="3"/>
            <charset val="134"/>
          </rPr>
          <t>Li ZhongHong:</t>
        </r>
        <r>
          <rPr>
            <sz val="9"/>
            <color indexed="81"/>
            <rFont val="宋体"/>
            <family val="3"/>
            <charset val="134"/>
          </rPr>
          <t xml:space="preserve">
公式来源与CCS厚度与重量的关系</t>
        </r>
      </text>
    </comment>
  </commentList>
</comments>
</file>

<file path=xl/comments6.xml><?xml version="1.0" encoding="utf-8"?>
<comments xmlns="http://schemas.openxmlformats.org/spreadsheetml/2006/main">
  <authors>
    <author>Li ZhongHong</author>
  </authors>
  <commentList>
    <comment ref="F61" authorId="0">
      <text>
        <r>
          <rPr>
            <b/>
            <sz val="9"/>
            <color indexed="81"/>
            <rFont val="宋体"/>
            <family val="3"/>
            <charset val="134"/>
          </rPr>
          <t>Li ZhongHong:</t>
        </r>
        <r>
          <rPr>
            <sz val="9"/>
            <color indexed="81"/>
            <rFont val="宋体"/>
            <family val="3"/>
            <charset val="134"/>
          </rPr>
          <t xml:space="preserve">
超出隔膜高度</t>
        </r>
      </text>
    </comment>
  </commentList>
</comments>
</file>

<file path=xl/comments7.xml><?xml version="1.0" encoding="utf-8"?>
<comments xmlns="http://schemas.openxmlformats.org/spreadsheetml/2006/main">
  <authors>
    <author>作者</author>
  </authors>
  <commentList>
    <comment ref="M2" authorId="0">
      <text>
        <r>
          <rPr>
            <sz val="9"/>
            <color indexed="81"/>
            <rFont val="宋体"/>
            <family val="3"/>
            <charset val="134"/>
          </rPr>
          <t xml:space="preserve">QA对此项在线监控，无数据存档，目前就PTO做过的PAP152有数据；MP拉的能力是跟ME确认的
</t>
        </r>
      </text>
    </comment>
    <comment ref="C4" authorId="0">
      <text>
        <r>
          <rPr>
            <b/>
            <sz val="9"/>
            <color indexed="81"/>
            <rFont val="宋体"/>
            <family val="3"/>
            <charset val="134"/>
          </rPr>
          <t>作者:</t>
        </r>
        <r>
          <rPr>
            <sz val="9"/>
            <color indexed="81"/>
            <rFont val="宋体"/>
            <family val="3"/>
            <charset val="134"/>
          </rPr>
          <t xml:space="preserve">
参考技术规格书</t>
        </r>
      </text>
    </comment>
    <comment ref="F4" authorId="0">
      <text>
        <r>
          <rPr>
            <b/>
            <sz val="9"/>
            <color indexed="81"/>
            <rFont val="宋体"/>
            <family val="3"/>
            <charset val="134"/>
          </rPr>
          <t>作者:</t>
        </r>
        <r>
          <rPr>
            <sz val="9"/>
            <color indexed="81"/>
            <rFont val="宋体"/>
            <family val="3"/>
            <charset val="134"/>
          </rPr>
          <t xml:space="preserve">
参考技术规格书</t>
        </r>
      </text>
    </comment>
    <comment ref="I4" authorId="0">
      <text>
        <r>
          <rPr>
            <sz val="9"/>
            <color indexed="81"/>
            <rFont val="宋体"/>
            <family val="3"/>
            <charset val="134"/>
          </rPr>
          <t>在涂布重量较轻（140），固含量较高的个别package的时候，通过适度提升温度和风量（温度130，风量30），可达到15m/min</t>
        </r>
      </text>
    </comment>
    <comment ref="C7" authorId="0">
      <text>
        <r>
          <rPr>
            <b/>
            <sz val="9"/>
            <color indexed="81"/>
            <rFont val="宋体"/>
            <family val="3"/>
            <charset val="134"/>
          </rPr>
          <t>作者:</t>
        </r>
        <r>
          <rPr>
            <sz val="9"/>
            <color indexed="81"/>
            <rFont val="宋体"/>
            <family val="3"/>
            <charset val="134"/>
          </rPr>
          <t xml:space="preserve">
参考技术规格书</t>
        </r>
      </text>
    </comment>
    <comment ref="F7" authorId="0">
      <text>
        <r>
          <rPr>
            <b/>
            <sz val="9"/>
            <color indexed="81"/>
            <rFont val="宋体"/>
            <family val="3"/>
            <charset val="134"/>
          </rPr>
          <t>作者:</t>
        </r>
        <r>
          <rPr>
            <sz val="9"/>
            <color indexed="81"/>
            <rFont val="宋体"/>
            <family val="3"/>
            <charset val="134"/>
          </rPr>
          <t xml:space="preserve">
参考技术规格书</t>
        </r>
      </text>
    </comment>
    <comment ref="I7" authorId="0">
      <text>
        <r>
          <rPr>
            <b/>
            <sz val="9"/>
            <color indexed="81"/>
            <rFont val="宋体"/>
            <family val="3"/>
            <charset val="134"/>
          </rPr>
          <t>作者:</t>
        </r>
        <r>
          <rPr>
            <sz val="9"/>
            <color indexed="81"/>
            <rFont val="宋体"/>
            <family val="3"/>
            <charset val="134"/>
          </rPr>
          <t xml:space="preserve">
常规速度为8m/s,速度越高双面错位精度越差 </t>
        </r>
      </text>
    </comment>
    <comment ref="K7" authorId="0">
      <text>
        <r>
          <rPr>
            <b/>
            <sz val="9"/>
            <color indexed="81"/>
            <rFont val="宋体"/>
            <family val="3"/>
            <charset val="134"/>
          </rPr>
          <t>作者:</t>
        </r>
        <r>
          <rPr>
            <sz val="9"/>
            <color indexed="81"/>
            <rFont val="宋体"/>
            <family val="3"/>
            <charset val="134"/>
          </rPr>
          <t xml:space="preserve">
Tp，Tn分别为削薄区和正常区厚度（μm），Lp为削薄区长度（mm）</t>
        </r>
      </text>
    </comment>
    <comment ref="L7" authorId="0">
      <text>
        <r>
          <rPr>
            <b/>
            <sz val="9"/>
            <color indexed="81"/>
            <rFont val="宋体"/>
            <family val="3"/>
            <charset val="134"/>
          </rPr>
          <t>作者:</t>
        </r>
        <r>
          <rPr>
            <sz val="9"/>
            <color indexed="81"/>
            <rFont val="宋体"/>
            <family val="3"/>
            <charset val="134"/>
          </rPr>
          <t xml:space="preserve">
常规速度为8m/s，速度越快精度越低</t>
        </r>
      </text>
    </comment>
    <comment ref="D18" authorId="0">
      <text>
        <r>
          <rPr>
            <b/>
            <sz val="9"/>
            <color indexed="81"/>
            <rFont val="宋体"/>
            <family val="3"/>
            <charset val="134"/>
          </rPr>
          <t>作者:</t>
        </r>
        <r>
          <rPr>
            <sz val="9"/>
            <color indexed="81"/>
            <rFont val="宋体"/>
            <family val="3"/>
            <charset val="134"/>
          </rPr>
          <t xml:space="preserve">
间隙模切时，首极耳与起始边间距误差±0.8mm</t>
        </r>
      </text>
    </comment>
  </commentList>
</comments>
</file>

<file path=xl/sharedStrings.xml><?xml version="1.0" encoding="utf-8"?>
<sst xmlns="http://schemas.openxmlformats.org/spreadsheetml/2006/main" count="1410" uniqueCount="951">
  <si>
    <t>Anode overhang</t>
    <phoneticPr fontId="5" type="noConversion"/>
  </si>
  <si>
    <t>Separator overhang</t>
    <phoneticPr fontId="5" type="noConversion"/>
  </si>
  <si>
    <t>Jelly roll</t>
    <phoneticPr fontId="5" type="noConversion"/>
  </si>
  <si>
    <t>Electrode</t>
    <phoneticPr fontId="5" type="noConversion"/>
  </si>
  <si>
    <t>Loading</t>
    <phoneticPr fontId="5" type="noConversion"/>
  </si>
  <si>
    <t xml:space="preserve"> Calender thickness</t>
    <phoneticPr fontId="5" type="noConversion"/>
  </si>
  <si>
    <t>Winding swelling</t>
    <phoneticPr fontId="5" type="noConversion"/>
  </si>
  <si>
    <t xml:space="preserve">Formation swelling </t>
    <phoneticPr fontId="5" type="noConversion"/>
  </si>
  <si>
    <t>Anode</t>
    <phoneticPr fontId="5" type="noConversion"/>
  </si>
  <si>
    <t>Cathode</t>
    <phoneticPr fontId="5" type="noConversion"/>
  </si>
  <si>
    <t>Anode</t>
  </si>
  <si>
    <t>layer</t>
    <phoneticPr fontId="5" type="noConversion"/>
  </si>
  <si>
    <t>Each layer</t>
    <phoneticPr fontId="5" type="noConversion"/>
  </si>
  <si>
    <t>Total length</t>
    <phoneticPr fontId="5" type="noConversion"/>
  </si>
  <si>
    <t>D1</t>
    <phoneticPr fontId="5" type="noConversion"/>
  </si>
  <si>
    <t>D2</t>
  </si>
  <si>
    <t>D3</t>
  </si>
  <si>
    <t>D4</t>
  </si>
  <si>
    <t>D5</t>
  </si>
  <si>
    <t>D6</t>
  </si>
  <si>
    <t>D7</t>
  </si>
  <si>
    <t>D8</t>
  </si>
  <si>
    <t>D9</t>
  </si>
  <si>
    <t>D10</t>
  </si>
  <si>
    <t>D11</t>
  </si>
  <si>
    <t>D12</t>
  </si>
  <si>
    <t>D13</t>
  </si>
  <si>
    <t>D14</t>
  </si>
  <si>
    <t>D15</t>
  </si>
  <si>
    <t>D16</t>
  </si>
  <si>
    <t>D17</t>
  </si>
  <si>
    <t>D18</t>
  </si>
  <si>
    <t>D19</t>
  </si>
  <si>
    <t>D20</t>
  </si>
  <si>
    <t>D21</t>
  </si>
  <si>
    <t>D22</t>
  </si>
  <si>
    <t>D23</t>
  </si>
  <si>
    <t>D24</t>
  </si>
  <si>
    <t>D25</t>
  </si>
  <si>
    <t>D26</t>
  </si>
  <si>
    <t>D27</t>
  </si>
  <si>
    <t>D28</t>
  </si>
  <si>
    <t>D29</t>
  </si>
  <si>
    <t>D30</t>
  </si>
  <si>
    <t>D31</t>
  </si>
  <si>
    <t>D32</t>
  </si>
  <si>
    <t>D33</t>
  </si>
  <si>
    <t>D34</t>
  </si>
  <si>
    <t>D35</t>
  </si>
  <si>
    <t>D36</t>
  </si>
  <si>
    <t>D37</t>
  </si>
  <si>
    <t>D38</t>
  </si>
  <si>
    <t>D39</t>
  </si>
  <si>
    <t>D40</t>
  </si>
  <si>
    <t>D41</t>
  </si>
  <si>
    <t>D42</t>
  </si>
  <si>
    <t>D43</t>
  </si>
  <si>
    <t>Weight(kg)</t>
    <phoneticPr fontId="5" type="noConversion"/>
  </si>
  <si>
    <t>Electrolyte</t>
    <phoneticPr fontId="5" type="noConversion"/>
  </si>
  <si>
    <t>ea</t>
  </si>
  <si>
    <t>Separator</t>
    <phoneticPr fontId="5" type="noConversion"/>
  </si>
  <si>
    <t>EL.</t>
    <phoneticPr fontId="5" type="noConversion"/>
  </si>
  <si>
    <t>Voltage</t>
    <phoneticPr fontId="6" type="noConversion"/>
  </si>
  <si>
    <t>Cathode</t>
  </si>
  <si>
    <t>EOL Swelling</t>
    <phoneticPr fontId="6" type="noConversion"/>
  </si>
  <si>
    <t>Cu foil</t>
    <phoneticPr fontId="5" type="noConversion"/>
  </si>
  <si>
    <t>mm</t>
    <phoneticPr fontId="5" type="noConversion"/>
  </si>
  <si>
    <t>Item</t>
    <phoneticPr fontId="5" type="noConversion"/>
  </si>
  <si>
    <t>EOL</t>
    <phoneticPr fontId="6" type="noConversion"/>
  </si>
  <si>
    <t>Active Material</t>
    <phoneticPr fontId="5" type="noConversion"/>
  </si>
  <si>
    <t>Separater</t>
    <phoneticPr fontId="5" type="noConversion"/>
  </si>
  <si>
    <t>Unit: mm for length if not specified</t>
  </si>
  <si>
    <t>软连接</t>
    <phoneticPr fontId="6" type="noConversion"/>
  </si>
  <si>
    <t>待输入</t>
    <phoneticPr fontId="6" type="noConversion"/>
  </si>
  <si>
    <t>极耳错位设计公差</t>
    <phoneticPr fontId="6" type="noConversion"/>
  </si>
  <si>
    <t>Nominal J =</t>
  </si>
  <si>
    <t>Weight</t>
    <phoneticPr fontId="5" type="noConversion"/>
  </si>
  <si>
    <t>weight</t>
    <phoneticPr fontId="69" type="noConversion"/>
  </si>
  <si>
    <t>length</t>
    <phoneticPr fontId="69" type="noConversion"/>
  </si>
  <si>
    <t>width</t>
    <phoneticPr fontId="69" type="noConversion"/>
  </si>
  <si>
    <t>tol (+/-)</t>
  </si>
  <si>
    <t>mean</t>
  </si>
  <si>
    <t>tol (+)</t>
  </si>
  <si>
    <t>tol (-)</t>
  </si>
  <si>
    <t>dimension</t>
  </si>
  <si>
    <t>max</t>
  </si>
  <si>
    <t>min</t>
  </si>
  <si>
    <t>Symmetry</t>
  </si>
  <si>
    <t>Specification</t>
  </si>
  <si>
    <t>V*f</t>
  </si>
  <si>
    <t>geometry
factor (f)</t>
  </si>
  <si>
    <t>direction
(V)</t>
  </si>
  <si>
    <t>Name</t>
  </si>
  <si>
    <t>Worst Case</t>
  </si>
  <si>
    <t>film Weight</t>
    <phoneticPr fontId="69" type="noConversion"/>
  </si>
  <si>
    <t>film width</t>
    <phoneticPr fontId="69" type="noConversion"/>
  </si>
  <si>
    <r>
      <t>Unit</t>
    </r>
    <r>
      <rPr>
        <sz val="10"/>
        <color theme="1" tint="4.9989318521683403E-2"/>
        <rFont val="宋体"/>
        <family val="3"/>
        <charset val="134"/>
      </rPr>
      <t>：</t>
    </r>
    <r>
      <rPr>
        <sz val="10"/>
        <color theme="1" tint="4.9989318521683403E-2"/>
        <rFont val="Arial"/>
        <family val="2"/>
      </rPr>
      <t>g</t>
    </r>
  </si>
  <si>
    <t>Separator</t>
    <phoneticPr fontId="69" type="noConversion"/>
  </si>
  <si>
    <t>Anode</t>
    <phoneticPr fontId="69" type="noConversion"/>
  </si>
  <si>
    <t>Cathode</t>
    <phoneticPr fontId="69" type="noConversion"/>
  </si>
  <si>
    <t>max</t>
    <phoneticPr fontId="69" type="noConversion"/>
  </si>
  <si>
    <t>min</t>
    <phoneticPr fontId="69" type="noConversion"/>
  </si>
  <si>
    <t>Dimension</t>
    <phoneticPr fontId="69" type="noConversion"/>
  </si>
  <si>
    <t>Statistic (RSS)</t>
  </si>
  <si>
    <t>Cpk</t>
  </si>
  <si>
    <t>3 sigma (99.73%)</t>
  </si>
  <si>
    <t>range (+/-)</t>
  </si>
  <si>
    <t>JR</t>
    <phoneticPr fontId="69" type="noConversion"/>
  </si>
  <si>
    <t>Electrolyte</t>
    <phoneticPr fontId="69" type="noConversion"/>
  </si>
  <si>
    <t>JR,ea</t>
    <phoneticPr fontId="6" type="noConversion"/>
  </si>
  <si>
    <t>Active material</t>
  </si>
  <si>
    <t>Specific Capacity,mAh/g</t>
    <phoneticPr fontId="6" type="noConversion"/>
  </si>
  <si>
    <t>Loading</t>
  </si>
  <si>
    <t>E028-02</t>
  </si>
  <si>
    <t>C.W., g/1540.25mm^2</t>
  </si>
  <si>
    <t>P.D., g/cc</t>
  </si>
  <si>
    <t>Al foil THK, mm</t>
  </si>
  <si>
    <t>Active Material</t>
  </si>
  <si>
    <t>Cu foil THK, mm</t>
  </si>
  <si>
    <t>Sep</t>
    <phoneticPr fontId="6" type="noConversion"/>
  </si>
  <si>
    <t>EL</t>
    <phoneticPr fontId="6" type="noConversion"/>
  </si>
  <si>
    <t>A/C Overhang, mm</t>
    <phoneticPr fontId="6" type="noConversion"/>
  </si>
  <si>
    <t>S/A Overhang, mm</t>
    <phoneticPr fontId="6" type="noConversion"/>
  </si>
  <si>
    <t>Winding</t>
  </si>
  <si>
    <t>EFM:</t>
    <phoneticPr fontId="6" type="noConversion"/>
  </si>
  <si>
    <t>Item</t>
  </si>
  <si>
    <t>coating length</t>
  </si>
  <si>
    <t>solid content</t>
  </si>
  <si>
    <t>JR coating width</t>
  </si>
  <si>
    <t>coating loading</t>
  </si>
  <si>
    <t>slurry density</t>
  </si>
  <si>
    <t>Seperator CCS</t>
  </si>
  <si>
    <t>Seperator PCS</t>
  </si>
  <si>
    <t>AT9</t>
  </si>
  <si>
    <t>Active material</t>
    <phoneticPr fontId="5" type="noConversion"/>
  </si>
  <si>
    <t>Al foil</t>
    <phoneticPr fontId="5" type="noConversion"/>
  </si>
  <si>
    <t>Al tab</t>
    <phoneticPr fontId="5" type="noConversion"/>
  </si>
  <si>
    <t>Binder</t>
    <phoneticPr fontId="5" type="noConversion"/>
  </si>
  <si>
    <t>SP</t>
    <phoneticPr fontId="5" type="noConversion"/>
  </si>
  <si>
    <t>E028</t>
    <phoneticPr fontId="5" type="noConversion"/>
  </si>
  <si>
    <t>Cu tab</t>
    <phoneticPr fontId="5" type="noConversion"/>
  </si>
  <si>
    <t>CMC</t>
    <phoneticPr fontId="5" type="noConversion"/>
  </si>
  <si>
    <t>PCS</t>
  </si>
  <si>
    <r>
      <t>AT9</t>
    </r>
    <r>
      <rPr>
        <sz val="10"/>
        <rFont val="宋体"/>
        <family val="3"/>
        <charset val="134"/>
      </rPr>
      <t>涂布宽度</t>
    </r>
    <phoneticPr fontId="5" type="noConversion"/>
  </si>
  <si>
    <r>
      <rPr>
        <sz val="8"/>
        <rFont val="宋体"/>
        <family val="3"/>
        <charset val="134"/>
      </rPr>
      <t>上膜片</t>
    </r>
    <r>
      <rPr>
        <sz val="8"/>
        <rFont val="Calibri"/>
        <family val="2"/>
      </rPr>
      <t>0.5mm</t>
    </r>
    <phoneticPr fontId="5" type="noConversion"/>
  </si>
  <si>
    <r>
      <t>Overhang</t>
    </r>
    <r>
      <rPr>
        <sz val="10"/>
        <rFont val="宋体"/>
        <family val="3"/>
        <charset val="134"/>
      </rPr>
      <t>核算</t>
    </r>
    <phoneticPr fontId="5" type="noConversion"/>
  </si>
  <si>
    <r>
      <rPr>
        <sz val="10"/>
        <rFont val="宋体"/>
        <family val="3"/>
        <charset val="134"/>
      </rPr>
      <t>隔膜</t>
    </r>
    <r>
      <rPr>
        <sz val="10"/>
        <rFont val="Calibri"/>
        <family val="2"/>
      </rPr>
      <t>Overhang</t>
    </r>
    <phoneticPr fontId="5" type="noConversion"/>
  </si>
  <si>
    <r>
      <rPr>
        <sz val="10"/>
        <rFont val="宋体"/>
        <family val="3"/>
        <charset val="134"/>
      </rPr>
      <t>隔膜下压</t>
    </r>
    <phoneticPr fontId="5" type="noConversion"/>
  </si>
  <si>
    <r>
      <rPr>
        <sz val="10"/>
        <rFont val="宋体"/>
        <family val="3"/>
        <charset val="134"/>
      </rPr>
      <t>阳极</t>
    </r>
    <r>
      <rPr>
        <sz val="10"/>
        <rFont val="Calibri"/>
        <family val="2"/>
      </rPr>
      <t>overhang</t>
    </r>
    <phoneticPr fontId="5" type="noConversion"/>
  </si>
  <si>
    <r>
      <t>AT9</t>
    </r>
    <r>
      <rPr>
        <sz val="10"/>
        <rFont val="宋体"/>
        <family val="3"/>
        <charset val="134"/>
      </rPr>
      <t>上膜片</t>
    </r>
    <phoneticPr fontId="5" type="noConversion"/>
  </si>
  <si>
    <r>
      <rPr>
        <sz val="10"/>
        <rFont val="宋体"/>
        <family val="3"/>
        <charset val="134"/>
      </rPr>
      <t>阴极膜宽</t>
    </r>
    <r>
      <rPr>
        <sz val="10"/>
        <rFont val="Calibri"/>
        <family val="2"/>
      </rPr>
      <t>L1=</t>
    </r>
    <phoneticPr fontId="5" type="noConversion"/>
  </si>
  <si>
    <r>
      <rPr>
        <sz val="10"/>
        <rFont val="宋体"/>
        <family val="3"/>
        <charset val="134"/>
      </rPr>
      <t>阳极膜宽</t>
    </r>
    <r>
      <rPr>
        <sz val="10"/>
        <rFont val="Calibri"/>
        <family val="2"/>
      </rPr>
      <t>L3=</t>
    </r>
    <phoneticPr fontId="5" type="noConversion"/>
  </si>
  <si>
    <r>
      <rPr>
        <sz val="10"/>
        <rFont val="宋体"/>
        <family val="3"/>
        <charset val="134"/>
      </rPr>
      <t>隔膜宽</t>
    </r>
    <r>
      <rPr>
        <sz val="10"/>
        <rFont val="Calibri"/>
        <family val="2"/>
      </rPr>
      <t>(JR</t>
    </r>
    <r>
      <rPr>
        <sz val="10"/>
        <rFont val="宋体"/>
        <family val="3"/>
        <charset val="134"/>
      </rPr>
      <t>高</t>
    </r>
    <r>
      <rPr>
        <sz val="10"/>
        <rFont val="Calibri"/>
        <family val="2"/>
      </rPr>
      <t>)L4=</t>
    </r>
    <phoneticPr fontId="5" type="noConversion"/>
  </si>
  <si>
    <r>
      <t>JR+</t>
    </r>
    <r>
      <rPr>
        <sz val="10"/>
        <rFont val="宋体"/>
        <family val="3"/>
        <charset val="134"/>
      </rPr>
      <t>极耳总高</t>
    </r>
    <r>
      <rPr>
        <sz val="10"/>
        <rFont val="Calibri"/>
        <family val="2"/>
      </rPr>
      <t>L5=</t>
    </r>
    <phoneticPr fontId="5" type="noConversion"/>
  </si>
  <si>
    <r>
      <rPr>
        <sz val="12"/>
        <rFont val="宋体"/>
        <family val="3"/>
        <charset val="134"/>
      </rPr>
      <t>基材总宽</t>
    </r>
    <phoneticPr fontId="5" type="noConversion"/>
  </si>
  <si>
    <r>
      <rPr>
        <sz val="10"/>
        <rFont val="宋体"/>
        <family val="3"/>
        <charset val="134"/>
      </rPr>
      <t>可见膜宽</t>
    </r>
    <phoneticPr fontId="5" type="noConversion"/>
  </si>
  <si>
    <r>
      <t>AT9</t>
    </r>
    <r>
      <rPr>
        <sz val="10"/>
        <rFont val="宋体"/>
        <family val="3"/>
        <charset val="134"/>
      </rPr>
      <t>上极耳</t>
    </r>
    <phoneticPr fontId="5" type="noConversion"/>
  </si>
  <si>
    <t>film length</t>
    <phoneticPr fontId="69" type="noConversion"/>
  </si>
  <si>
    <t>单个极耳面积</t>
    <phoneticPr fontId="69" type="noConversion"/>
  </si>
  <si>
    <t>极耳个数</t>
    <phoneticPr fontId="6" type="noConversion"/>
  </si>
  <si>
    <t>极耳高度</t>
    <phoneticPr fontId="6" type="noConversion"/>
  </si>
  <si>
    <t>极耳重量</t>
    <phoneticPr fontId="69" type="noConversion"/>
  </si>
  <si>
    <r>
      <t>JR</t>
    </r>
    <r>
      <rPr>
        <sz val="10"/>
        <rFont val="宋体"/>
        <family val="3"/>
        <charset val="134"/>
      </rPr>
      <t>个数</t>
    </r>
    <phoneticPr fontId="6" type="noConversion"/>
  </si>
  <si>
    <t>foil width</t>
    <phoneticPr fontId="6" type="noConversion"/>
  </si>
  <si>
    <t>foil length</t>
    <phoneticPr fontId="6" type="noConversion"/>
  </si>
  <si>
    <t>foil weight</t>
    <phoneticPr fontId="6" type="noConversion"/>
  </si>
  <si>
    <t>极耳=</t>
    <phoneticPr fontId="6" type="noConversion"/>
  </si>
  <si>
    <t>Cathode foil=</t>
    <phoneticPr fontId="69" type="noConversion"/>
  </si>
  <si>
    <t>Foil film=</t>
    <phoneticPr fontId="69" type="noConversion"/>
  </si>
  <si>
    <t>film length</t>
    <phoneticPr fontId="69" type="noConversion"/>
  </si>
  <si>
    <t>foil width</t>
  </si>
  <si>
    <t>foil length</t>
  </si>
  <si>
    <t>foil weight</t>
  </si>
  <si>
    <t>单个极耳面积</t>
  </si>
  <si>
    <t>极耳个数</t>
  </si>
  <si>
    <t>极耳重量</t>
  </si>
  <si>
    <t>JR个数</t>
  </si>
  <si>
    <t>极耳=</t>
  </si>
  <si>
    <t>Anode foil=</t>
    <phoneticPr fontId="6" type="noConversion"/>
  </si>
  <si>
    <t>Cu film=</t>
    <phoneticPr fontId="6" type="noConversion"/>
  </si>
  <si>
    <t>Weight</t>
    <phoneticPr fontId="6" type="noConversion"/>
  </si>
  <si>
    <t>Total</t>
    <phoneticPr fontId="69" type="noConversion"/>
  </si>
  <si>
    <r>
      <t>Unit</t>
    </r>
    <r>
      <rPr>
        <sz val="10"/>
        <color theme="1" tint="4.9989318521683403E-2"/>
        <rFont val="宋体"/>
        <family val="3"/>
        <charset val="134"/>
      </rPr>
      <t>：</t>
    </r>
    <r>
      <rPr>
        <sz val="10"/>
        <color theme="1" tint="4.9989318521683403E-2"/>
        <rFont val="Calibri"/>
        <family val="2"/>
      </rPr>
      <t>g</t>
    </r>
  </si>
  <si>
    <t>Mechanical Parts</t>
    <phoneticPr fontId="6" type="noConversion"/>
  </si>
  <si>
    <t>Symmetry</t>
    <phoneticPr fontId="6" type="noConversion"/>
  </si>
  <si>
    <t>Cell weight Design</t>
  </si>
  <si>
    <t>JR Weight Design</t>
  </si>
  <si>
    <t>Mean</t>
    <phoneticPr fontId="6" type="noConversion"/>
  </si>
  <si>
    <t>Min</t>
    <phoneticPr fontId="6" type="noConversion"/>
  </si>
  <si>
    <t>Max</t>
    <phoneticPr fontId="6" type="noConversion"/>
  </si>
  <si>
    <r>
      <t>Cell weight</t>
    </r>
    <r>
      <rPr>
        <sz val="10"/>
        <color theme="1" tint="4.9989318521683403E-2"/>
        <rFont val="宋体"/>
        <family val="3"/>
        <charset val="134"/>
      </rPr>
      <t>：</t>
    </r>
    <phoneticPr fontId="6" type="noConversion"/>
  </si>
  <si>
    <t>1.1 Conclusion</t>
    <phoneticPr fontId="69" type="noConversion"/>
  </si>
  <si>
    <t>1.2 Cell weight tolerance analysis</t>
    <phoneticPr fontId="5" type="noConversion"/>
  </si>
  <si>
    <t>2.1 Conclusion</t>
    <phoneticPr fontId="69" type="noConversion"/>
  </si>
  <si>
    <t>2.2 Cathode weight tolerance analysis</t>
    <phoneticPr fontId="5" type="noConversion"/>
  </si>
  <si>
    <t>2.3 Anode weight tolerance analysis</t>
    <phoneticPr fontId="5" type="noConversion"/>
  </si>
  <si>
    <t>2.4 Separator weight tolerance analysis</t>
    <phoneticPr fontId="5" type="noConversion"/>
  </si>
  <si>
    <r>
      <t xml:space="preserve">JR Overhang </t>
    </r>
    <r>
      <rPr>
        <b/>
        <sz val="16"/>
        <rFont val="宋体"/>
        <family val="3"/>
        <charset val="134"/>
      </rPr>
      <t>核算</t>
    </r>
    <phoneticPr fontId="5" type="noConversion"/>
  </si>
  <si>
    <r>
      <rPr>
        <b/>
        <sz val="14"/>
        <color theme="1"/>
        <rFont val="宋体"/>
        <family val="3"/>
        <charset val="134"/>
      </rPr>
      <t>阳极极片制作</t>
    </r>
    <phoneticPr fontId="5" type="noConversion"/>
  </si>
  <si>
    <r>
      <t xml:space="preserve">1.1 </t>
    </r>
    <r>
      <rPr>
        <sz val="11"/>
        <rFont val="宋体"/>
        <family val="3"/>
        <charset val="134"/>
      </rPr>
      <t>阳极连续涂布，一出二</t>
    </r>
    <phoneticPr fontId="6" type="noConversion"/>
  </si>
  <si>
    <t>阴极极片制作</t>
    <phoneticPr fontId="5" type="noConversion"/>
  </si>
  <si>
    <t>Ah Cell Material List</t>
  </si>
  <si>
    <r>
      <t xml:space="preserve">1.2 </t>
    </r>
    <r>
      <rPr>
        <sz val="11"/>
        <rFont val="宋体"/>
        <family val="3"/>
        <charset val="134"/>
      </rPr>
      <t>模切</t>
    </r>
    <phoneticPr fontId="6" type="noConversion"/>
  </si>
  <si>
    <r>
      <t xml:space="preserve">1.3  </t>
    </r>
    <r>
      <rPr>
        <sz val="11"/>
        <rFont val="宋体"/>
        <family val="3"/>
        <charset val="134"/>
      </rPr>
      <t>分条，一出二</t>
    </r>
    <phoneticPr fontId="6" type="noConversion"/>
  </si>
  <si>
    <r>
      <t xml:space="preserve">2.1 </t>
    </r>
    <r>
      <rPr>
        <sz val="11"/>
        <rFont val="宋体"/>
        <family val="3"/>
        <charset val="134"/>
      </rPr>
      <t>阴极连续涂布，一出二</t>
    </r>
    <phoneticPr fontId="6" type="noConversion"/>
  </si>
  <si>
    <r>
      <t xml:space="preserve">2.2 </t>
    </r>
    <r>
      <rPr>
        <sz val="11"/>
        <rFont val="宋体"/>
        <family val="3"/>
        <charset val="134"/>
      </rPr>
      <t>模切</t>
    </r>
    <phoneticPr fontId="6" type="noConversion"/>
  </si>
  <si>
    <r>
      <t xml:space="preserve">2.3  </t>
    </r>
    <r>
      <rPr>
        <sz val="11"/>
        <rFont val="宋体"/>
        <family val="3"/>
        <charset val="134"/>
      </rPr>
      <t>分条，一出二</t>
    </r>
    <phoneticPr fontId="6" type="noConversion"/>
  </si>
  <si>
    <t>M6UP</t>
    <phoneticPr fontId="5" type="noConversion"/>
  </si>
  <si>
    <r>
      <rPr>
        <sz val="8"/>
        <rFont val="宋体"/>
        <family val="3"/>
        <charset val="134"/>
      </rPr>
      <t>极耳边距</t>
    </r>
    <r>
      <rPr>
        <sz val="8"/>
        <rFont val="Calibri"/>
        <family val="2"/>
      </rPr>
      <t>Lb</t>
    </r>
    <phoneticPr fontId="6" type="noConversion"/>
  </si>
  <si>
    <r>
      <rPr>
        <b/>
        <sz val="8"/>
        <rFont val="宋体"/>
        <family val="3"/>
        <charset val="134"/>
      </rPr>
      <t>卷针</t>
    </r>
    <phoneticPr fontId="6" type="noConversion"/>
  </si>
  <si>
    <r>
      <rPr>
        <sz val="8"/>
        <rFont val="宋体"/>
        <family val="3"/>
        <charset val="134"/>
      </rPr>
      <t>参数</t>
    </r>
    <phoneticPr fontId="6" type="noConversion"/>
  </si>
  <si>
    <r>
      <rPr>
        <sz val="8"/>
        <rFont val="宋体"/>
        <family val="3"/>
        <charset val="134"/>
      </rPr>
      <t>周长</t>
    </r>
    <phoneticPr fontId="6" type="noConversion"/>
  </si>
  <si>
    <r>
      <rPr>
        <sz val="8"/>
        <rFont val="宋体"/>
        <family val="3"/>
        <charset val="134"/>
      </rPr>
      <t>首圈周长</t>
    </r>
    <phoneticPr fontId="6" type="noConversion"/>
  </si>
  <si>
    <r>
      <t>Weight (g/1540mm</t>
    </r>
    <r>
      <rPr>
        <vertAlign val="superscript"/>
        <sz val="8"/>
        <rFont val="Calibri"/>
        <family val="2"/>
      </rPr>
      <t>2</t>
    </r>
    <r>
      <rPr>
        <sz val="8"/>
        <rFont val="Calibri"/>
        <family val="2"/>
      </rPr>
      <t>)</t>
    </r>
    <phoneticPr fontId="5" type="noConversion"/>
  </si>
  <si>
    <r>
      <t xml:space="preserve">JR </t>
    </r>
    <r>
      <rPr>
        <b/>
        <sz val="8"/>
        <rFont val="宋体"/>
        <family val="3"/>
        <charset val="134"/>
      </rPr>
      <t>参数</t>
    </r>
    <r>
      <rPr>
        <b/>
        <sz val="8"/>
        <rFont val="Calibri"/>
        <family val="2"/>
      </rPr>
      <t>_</t>
    </r>
    <r>
      <rPr>
        <b/>
        <sz val="8"/>
        <color rgb="FFFF0000"/>
        <rFont val="宋体"/>
        <family val="3"/>
        <charset val="134"/>
      </rPr>
      <t>厚度</t>
    </r>
    <phoneticPr fontId="6" type="noConversion"/>
  </si>
  <si>
    <r>
      <rPr>
        <sz val="8"/>
        <rFont val="宋体"/>
        <family val="3"/>
        <charset val="134"/>
      </rPr>
      <t>化成后</t>
    </r>
    <phoneticPr fontId="6" type="noConversion"/>
  </si>
  <si>
    <r>
      <t xml:space="preserve">JR </t>
    </r>
    <r>
      <rPr>
        <b/>
        <sz val="8"/>
        <rFont val="宋体"/>
        <family val="3"/>
        <charset val="134"/>
      </rPr>
      <t>参数</t>
    </r>
    <r>
      <rPr>
        <b/>
        <sz val="8"/>
        <rFont val="Calibri"/>
        <family val="2"/>
      </rPr>
      <t>_</t>
    </r>
    <r>
      <rPr>
        <b/>
        <sz val="8"/>
        <color rgb="FFFF0000"/>
        <rFont val="宋体"/>
        <family val="3"/>
        <charset val="134"/>
      </rPr>
      <t>宽度</t>
    </r>
    <phoneticPr fontId="6" type="noConversion"/>
  </si>
  <si>
    <r>
      <rPr>
        <sz val="8"/>
        <rFont val="宋体"/>
        <family val="3"/>
        <charset val="134"/>
      </rPr>
      <t>设计值</t>
    </r>
    <phoneticPr fontId="6" type="noConversion"/>
  </si>
  <si>
    <r>
      <rPr>
        <sz val="8"/>
        <rFont val="宋体"/>
        <family val="3"/>
        <charset val="134"/>
      </rPr>
      <t>厚度</t>
    </r>
    <phoneticPr fontId="6" type="noConversion"/>
  </si>
  <si>
    <r>
      <rPr>
        <sz val="8"/>
        <rFont val="宋体"/>
        <family val="3"/>
        <charset val="134"/>
      </rPr>
      <t>宽度</t>
    </r>
    <phoneticPr fontId="6" type="noConversion"/>
  </si>
  <si>
    <r>
      <rPr>
        <b/>
        <sz val="12"/>
        <rFont val="宋体"/>
        <family val="3"/>
        <charset val="134"/>
      </rPr>
      <t>输出值</t>
    </r>
    <phoneticPr fontId="5" type="noConversion"/>
  </si>
  <si>
    <r>
      <rPr>
        <sz val="10"/>
        <rFont val="宋体"/>
        <family val="3"/>
        <charset val="134"/>
      </rPr>
      <t>极片总长</t>
    </r>
    <r>
      <rPr>
        <sz val="10"/>
        <rFont val="Calibri"/>
        <family val="2"/>
      </rPr>
      <t>(</t>
    </r>
    <r>
      <rPr>
        <sz val="10"/>
        <rFont val="宋体"/>
        <family val="3"/>
        <charset val="134"/>
      </rPr>
      <t>修正后</t>
    </r>
    <r>
      <rPr>
        <sz val="10"/>
        <rFont val="Calibri"/>
        <family val="2"/>
      </rPr>
      <t>)</t>
    </r>
    <phoneticPr fontId="5" type="noConversion"/>
  </si>
  <si>
    <r>
      <t xml:space="preserve">Input ------- </t>
    </r>
    <r>
      <rPr>
        <b/>
        <sz val="11"/>
        <rFont val="宋体"/>
        <family val="3"/>
        <charset val="134"/>
      </rPr>
      <t>电芯级别</t>
    </r>
    <phoneticPr fontId="5" type="noConversion"/>
  </si>
  <si>
    <r>
      <t xml:space="preserve">Input ------- </t>
    </r>
    <r>
      <rPr>
        <b/>
        <sz val="11"/>
        <rFont val="宋体"/>
        <family val="3"/>
        <charset val="134"/>
      </rPr>
      <t>卷针</t>
    </r>
    <phoneticPr fontId="5" type="noConversion"/>
  </si>
  <si>
    <r>
      <t xml:space="preserve">Input ------- </t>
    </r>
    <r>
      <rPr>
        <b/>
        <sz val="11"/>
        <rFont val="宋体"/>
        <family val="3"/>
        <charset val="134"/>
      </rPr>
      <t>电解液</t>
    </r>
    <phoneticPr fontId="5" type="noConversion"/>
  </si>
  <si>
    <r>
      <t xml:space="preserve">Input ------- </t>
    </r>
    <r>
      <rPr>
        <b/>
        <sz val="11"/>
        <rFont val="宋体"/>
        <family val="3"/>
        <charset val="134"/>
      </rPr>
      <t>极片级别</t>
    </r>
    <phoneticPr fontId="5" type="noConversion"/>
  </si>
  <si>
    <r>
      <rPr>
        <b/>
        <sz val="16"/>
        <color theme="1"/>
        <rFont val="宋体"/>
        <family val="3"/>
        <charset val="134"/>
      </rPr>
      <t>卷绕结构</t>
    </r>
    <phoneticPr fontId="6" type="noConversion"/>
  </si>
  <si>
    <r>
      <t>Min. capacity, Ah @ 1C, 25</t>
    </r>
    <r>
      <rPr>
        <strike/>
        <sz val="10"/>
        <color rgb="FF000000"/>
        <rFont val="微软雅黑"/>
        <family val="2"/>
        <charset val="134"/>
      </rPr>
      <t>℃</t>
    </r>
    <phoneticPr fontId="6" type="noConversion"/>
  </si>
  <si>
    <r>
      <rPr>
        <sz val="10"/>
        <color rgb="FF000000"/>
        <rFont val="微软雅黑"/>
        <family val="2"/>
        <charset val="134"/>
      </rPr>
      <t>单</t>
    </r>
    <r>
      <rPr>
        <sz val="10"/>
        <color rgb="FF000000"/>
        <rFont val="Calibri"/>
        <family val="2"/>
      </rPr>
      <t>JR</t>
    </r>
    <r>
      <rPr>
        <sz val="10"/>
        <color rgb="FF000000"/>
        <rFont val="微软雅黑"/>
        <family val="2"/>
        <charset val="134"/>
      </rPr>
      <t>厚度</t>
    </r>
    <r>
      <rPr>
        <sz val="10"/>
        <color rgb="FF000000"/>
        <rFont val="Calibri"/>
        <family val="2"/>
      </rPr>
      <t>,mm</t>
    </r>
    <phoneticPr fontId="6" type="noConversion"/>
  </si>
  <si>
    <r>
      <t>JR</t>
    </r>
    <r>
      <rPr>
        <sz val="10"/>
        <color rgb="FF000000"/>
        <rFont val="微软雅黑"/>
        <family val="2"/>
        <charset val="134"/>
      </rPr>
      <t>宽度</t>
    </r>
    <r>
      <rPr>
        <sz val="10"/>
        <color rgb="FF000000"/>
        <rFont val="Calibri"/>
        <family val="2"/>
      </rPr>
      <t>,mm</t>
    </r>
    <phoneticPr fontId="6" type="noConversion"/>
  </si>
  <si>
    <r>
      <t>JR</t>
    </r>
    <r>
      <rPr>
        <sz val="10"/>
        <color rgb="FF000000"/>
        <rFont val="微软雅黑"/>
        <family val="2"/>
        <charset val="134"/>
      </rPr>
      <t>高度</t>
    </r>
    <r>
      <rPr>
        <sz val="10"/>
        <color rgb="FF000000"/>
        <rFont val="Calibri"/>
        <family val="2"/>
      </rPr>
      <t>,mm</t>
    </r>
    <phoneticPr fontId="6" type="noConversion"/>
  </si>
  <si>
    <r>
      <rPr>
        <sz val="10"/>
        <color rgb="FF000000"/>
        <rFont val="微软雅黑"/>
        <family val="2"/>
        <charset val="134"/>
      </rPr>
      <t>卷针周长</t>
    </r>
    <r>
      <rPr>
        <sz val="10"/>
        <color rgb="FF000000"/>
        <rFont val="Calibri"/>
        <family val="2"/>
      </rPr>
      <t>,mm</t>
    </r>
    <phoneticPr fontId="6" type="noConversion"/>
  </si>
  <si>
    <r>
      <rPr>
        <sz val="10"/>
        <color rgb="FF000000"/>
        <rFont val="微软雅黑"/>
        <family val="2"/>
        <charset val="134"/>
      </rPr>
      <t>冷压厚度，</t>
    </r>
    <r>
      <rPr>
        <sz val="10"/>
        <color rgb="FF000000"/>
        <rFont val="Calibri"/>
        <family val="2"/>
      </rPr>
      <t>mm</t>
    </r>
  </si>
  <si>
    <r>
      <rPr>
        <sz val="10"/>
        <color rgb="FF000000"/>
        <rFont val="微软雅黑"/>
        <family val="2"/>
        <charset val="134"/>
      </rPr>
      <t>层数（单</t>
    </r>
    <r>
      <rPr>
        <sz val="10"/>
        <color rgb="FF000000"/>
        <rFont val="Calibri"/>
        <family val="2"/>
      </rPr>
      <t>JR</t>
    </r>
    <r>
      <rPr>
        <sz val="10"/>
        <color rgb="FF000000"/>
        <rFont val="微软雅黑"/>
        <family val="2"/>
        <charset val="134"/>
      </rPr>
      <t>）</t>
    </r>
  </si>
  <si>
    <r>
      <rPr>
        <sz val="10"/>
        <color rgb="FF000000"/>
        <rFont val="微软雅黑"/>
        <family val="2"/>
        <charset val="134"/>
      </rPr>
      <t>膜片宽度</t>
    </r>
    <r>
      <rPr>
        <sz val="10"/>
        <color rgb="FF000000"/>
        <rFont val="Calibri"/>
        <family val="2"/>
      </rPr>
      <t>, mm</t>
    </r>
  </si>
  <si>
    <r>
      <t>AT9</t>
    </r>
    <r>
      <rPr>
        <sz val="10"/>
        <color rgb="FF000000"/>
        <rFont val="微软雅黑"/>
        <family val="2"/>
        <charset val="134"/>
      </rPr>
      <t>宽度</t>
    </r>
    <r>
      <rPr>
        <sz val="10"/>
        <color rgb="FF000000"/>
        <rFont val="Calibri"/>
        <family val="2"/>
      </rPr>
      <t>, mm</t>
    </r>
  </si>
  <si>
    <r>
      <t>Tab</t>
    </r>
    <r>
      <rPr>
        <sz val="10"/>
        <color rgb="FF000000"/>
        <rFont val="微软雅黑"/>
        <family val="2"/>
        <charset val="134"/>
      </rPr>
      <t>高度</t>
    </r>
    <r>
      <rPr>
        <sz val="10"/>
        <color rgb="FF000000"/>
        <rFont val="Calibri"/>
        <family val="2"/>
      </rPr>
      <t>,mm</t>
    </r>
    <phoneticPr fontId="6" type="noConversion"/>
  </si>
  <si>
    <r>
      <rPr>
        <sz val="10"/>
        <color rgb="FF000000"/>
        <rFont val="微软雅黑"/>
        <family val="2"/>
        <charset val="134"/>
      </rPr>
      <t>基材</t>
    </r>
    <phoneticPr fontId="6" type="noConversion"/>
  </si>
  <si>
    <r>
      <rPr>
        <sz val="10"/>
        <color rgb="FF000000"/>
        <rFont val="微软雅黑"/>
        <family val="2"/>
        <charset val="134"/>
      </rPr>
      <t>处理</t>
    </r>
    <phoneticPr fontId="6" type="noConversion"/>
  </si>
  <si>
    <r>
      <rPr>
        <sz val="10"/>
        <color rgb="FF000000"/>
        <rFont val="微软雅黑"/>
        <family val="2"/>
        <charset val="134"/>
      </rPr>
      <t>隔离膜宽度</t>
    </r>
    <r>
      <rPr>
        <sz val="10"/>
        <color rgb="FF000000"/>
        <rFont val="Calibri"/>
        <family val="2"/>
      </rPr>
      <t>,mm</t>
    </r>
    <phoneticPr fontId="6" type="noConversion"/>
  </si>
  <si>
    <r>
      <rPr>
        <sz val="10"/>
        <color rgb="FF000000"/>
        <rFont val="微软雅黑"/>
        <family val="2"/>
        <charset val="134"/>
      </rPr>
      <t>层数（单</t>
    </r>
    <r>
      <rPr>
        <sz val="10"/>
        <color rgb="FF000000"/>
        <rFont val="Calibri"/>
        <family val="2"/>
      </rPr>
      <t>JR</t>
    </r>
    <r>
      <rPr>
        <sz val="10"/>
        <color rgb="FF000000"/>
        <rFont val="微软雅黑"/>
        <family val="2"/>
        <charset val="134"/>
      </rPr>
      <t>）</t>
    </r>
    <phoneticPr fontId="6" type="noConversion"/>
  </si>
  <si>
    <r>
      <t>EL</t>
    </r>
    <r>
      <rPr>
        <sz val="10"/>
        <color rgb="FF000000"/>
        <rFont val="微软雅黑"/>
        <family val="2"/>
        <charset val="134"/>
      </rPr>
      <t>注液量</t>
    </r>
    <r>
      <rPr>
        <sz val="10"/>
        <color rgb="FF000000"/>
        <rFont val="Calibri"/>
        <family val="2"/>
      </rPr>
      <t xml:space="preserve"> (g)</t>
    </r>
    <phoneticPr fontId="6" type="noConversion"/>
  </si>
  <si>
    <r>
      <rPr>
        <sz val="10"/>
        <color rgb="FF000000"/>
        <rFont val="微软雅黑"/>
        <family val="2"/>
        <charset val="134"/>
      </rPr>
      <t>空间利用率</t>
    </r>
    <phoneticPr fontId="6" type="noConversion"/>
  </si>
  <si>
    <r>
      <t>Coating 1</t>
    </r>
    <r>
      <rPr>
        <sz val="12"/>
        <color rgb="FF000000"/>
        <rFont val="微软雅黑"/>
        <family val="2"/>
        <charset val="134"/>
      </rPr>
      <t>出</t>
    </r>
    <r>
      <rPr>
        <sz val="12"/>
        <color rgb="FF000000"/>
        <rFont val="Calibri"/>
        <family val="2"/>
      </rPr>
      <t>6</t>
    </r>
    <phoneticPr fontId="6" type="noConversion"/>
  </si>
  <si>
    <r>
      <t>JR</t>
    </r>
    <r>
      <rPr>
        <sz val="12"/>
        <color rgb="FF000000"/>
        <rFont val="微软雅黑"/>
        <family val="2"/>
        <charset val="134"/>
      </rPr>
      <t>个数：</t>
    </r>
    <phoneticPr fontId="6" type="noConversion"/>
  </si>
  <si>
    <r>
      <rPr>
        <sz val="12"/>
        <color rgb="FF000000"/>
        <rFont val="微软雅黑"/>
        <family val="2"/>
        <charset val="134"/>
      </rPr>
      <t>凹版：</t>
    </r>
    <phoneticPr fontId="6" type="noConversion"/>
  </si>
  <si>
    <r>
      <rPr>
        <sz val="12"/>
        <color rgb="FF000000"/>
        <rFont val="微软雅黑"/>
        <family val="2"/>
        <charset val="134"/>
      </rPr>
      <t>涂布单双面</t>
    </r>
  </si>
  <si>
    <r>
      <rPr>
        <sz val="12"/>
        <color rgb="FF000000"/>
        <rFont val="微软雅黑"/>
        <family val="2"/>
        <charset val="134"/>
      </rPr>
      <t>凹版</t>
    </r>
  </si>
  <si>
    <t>http://www.catlinfo.com:83/Docs/_layouts/15/WopiFrame.aspx?sourcedoc=/Docs/QTQSI/QTQSI-108-1.0.docx&amp;action=default</t>
  </si>
  <si>
    <r>
      <rPr>
        <b/>
        <sz val="12"/>
        <color theme="1"/>
        <rFont val="宋体"/>
        <family val="3"/>
        <charset val="134"/>
      </rPr>
      <t>设计表中的相关参数</t>
    </r>
    <phoneticPr fontId="6" type="noConversion"/>
  </si>
  <si>
    <r>
      <rPr>
        <b/>
        <sz val="12"/>
        <color theme="1"/>
        <rFont val="宋体"/>
        <family val="2"/>
      </rPr>
      <t>设计表的分类</t>
    </r>
    <phoneticPr fontId="6" type="noConversion"/>
  </si>
  <si>
    <t>Design</t>
    <phoneticPr fontId="6" type="noConversion"/>
  </si>
  <si>
    <r>
      <t>DC Plateau, V @ 1C, 25</t>
    </r>
    <r>
      <rPr>
        <sz val="10"/>
        <color rgb="FF000000"/>
        <rFont val="微软雅黑"/>
        <family val="2"/>
        <charset val="134"/>
      </rPr>
      <t>℃</t>
    </r>
    <phoneticPr fontId="6" type="noConversion"/>
  </si>
  <si>
    <r>
      <t>Min Energy, Wh @ 1C, 25</t>
    </r>
    <r>
      <rPr>
        <sz val="10"/>
        <color rgb="FF000000"/>
        <rFont val="微软雅黑"/>
        <family val="2"/>
        <charset val="134"/>
      </rPr>
      <t>℃</t>
    </r>
    <phoneticPr fontId="6" type="noConversion"/>
  </si>
  <si>
    <r>
      <t>Min. ED</t>
    </r>
    <r>
      <rPr>
        <sz val="10"/>
        <color rgb="FF000000"/>
        <rFont val="微软雅黑"/>
        <family val="2"/>
        <charset val="134"/>
      </rPr>
      <t>，</t>
    </r>
    <r>
      <rPr>
        <sz val="10"/>
        <color rgb="FF000000"/>
        <rFont val="Calibri"/>
        <family val="2"/>
      </rPr>
      <t>Wh/L @ 1C, 25</t>
    </r>
    <r>
      <rPr>
        <sz val="10"/>
        <color rgb="FF000000"/>
        <rFont val="微软雅黑"/>
        <family val="2"/>
        <charset val="134"/>
      </rPr>
      <t>℃</t>
    </r>
    <phoneticPr fontId="6" type="noConversion"/>
  </si>
  <si>
    <r>
      <t>Min. ED</t>
    </r>
    <r>
      <rPr>
        <sz val="10"/>
        <color rgb="FF000000"/>
        <rFont val="微软雅黑"/>
        <family val="2"/>
        <charset val="134"/>
      </rPr>
      <t>，</t>
    </r>
    <r>
      <rPr>
        <sz val="10"/>
        <color rgb="FF000000"/>
        <rFont val="Calibri"/>
        <family val="2"/>
      </rPr>
      <t>Wh/kg @ 1C, 25</t>
    </r>
    <r>
      <rPr>
        <sz val="10"/>
        <color rgb="FF000000"/>
        <rFont val="微软雅黑"/>
        <family val="2"/>
        <charset val="134"/>
      </rPr>
      <t>℃</t>
    </r>
    <phoneticPr fontId="6" type="noConversion"/>
  </si>
  <si>
    <r>
      <rPr>
        <sz val="10"/>
        <color rgb="FF000000"/>
        <rFont val="微软雅黑"/>
        <family val="2"/>
        <charset val="134"/>
      </rPr>
      <t>隔离膜长度</t>
    </r>
    <r>
      <rPr>
        <sz val="10"/>
        <color rgb="FF000000"/>
        <rFont val="Calibri"/>
        <family val="2"/>
      </rPr>
      <t>,mm</t>
    </r>
    <phoneticPr fontId="6" type="noConversion"/>
  </si>
  <si>
    <r>
      <t>Dead volume@25</t>
    </r>
    <r>
      <rPr>
        <sz val="10"/>
        <rFont val="宋体"/>
        <family val="3"/>
        <charset val="134"/>
      </rPr>
      <t>℃</t>
    </r>
    <phoneticPr fontId="5" type="noConversion"/>
  </si>
  <si>
    <r>
      <t>Dead volume@60</t>
    </r>
    <r>
      <rPr>
        <sz val="10"/>
        <rFont val="宋体"/>
        <family val="3"/>
        <charset val="134"/>
      </rPr>
      <t>℃</t>
    </r>
    <phoneticPr fontId="5" type="noConversion"/>
  </si>
  <si>
    <t xml:space="preserve">Anode </t>
  </si>
  <si>
    <t>Cathode</t>
    <phoneticPr fontId="6" type="noConversion"/>
  </si>
  <si>
    <t>Separator</t>
    <phoneticPr fontId="6" type="noConversion"/>
  </si>
  <si>
    <t>设计summary</t>
    <phoneticPr fontId="6" type="noConversion"/>
  </si>
  <si>
    <t>1. Cell Design Summary</t>
    <phoneticPr fontId="5" type="noConversion"/>
  </si>
  <si>
    <r>
      <rPr>
        <sz val="10"/>
        <color theme="1" tint="4.9989318521683403E-2"/>
        <rFont val="宋体"/>
        <family val="3"/>
        <charset val="134"/>
      </rPr>
      <t>说明：</t>
    </r>
    <r>
      <rPr>
        <sz val="10"/>
        <color theme="1" tint="4.9989318521683403E-2"/>
        <rFont val="Arial"/>
        <family val="2"/>
      </rPr>
      <t>Cell</t>
    </r>
    <r>
      <rPr>
        <sz val="10"/>
        <color theme="1" tint="4.9989318521683403E-2"/>
        <rFont val="宋体"/>
        <family val="3"/>
        <charset val="134"/>
      </rPr>
      <t>重量计算只有加法，按概率公差计算</t>
    </r>
    <phoneticPr fontId="6" type="noConversion"/>
  </si>
  <si>
    <t>设计表使用说明</t>
    <phoneticPr fontId="6" type="noConversion"/>
  </si>
  <si>
    <t>5~10</t>
    <phoneticPr fontId="6" type="noConversion"/>
  </si>
  <si>
    <t>Cpk&gt;1.0(±5mg)</t>
    <phoneticPr fontId="6" type="noConversion"/>
  </si>
  <si>
    <t>Cpk&gt;1.33(±10mg)</t>
    <phoneticPr fontId="6" type="noConversion"/>
  </si>
  <si>
    <t>Lp&lt;14mm
Tn*88%&lt;Tp&lt;Tn*98%</t>
  </si>
  <si>
    <t>20~31m/min</t>
    <phoneticPr fontId="6" type="noConversion"/>
  </si>
  <si>
    <t>Cpk&gt;1.0(±5mg)</t>
    <phoneticPr fontId="6" type="noConversion"/>
  </si>
  <si>
    <t>Cpk&gt;1.33(±10mg)</t>
    <phoneticPr fontId="6" type="noConversion"/>
  </si>
  <si>
    <t>±0.003</t>
    <phoneticPr fontId="5" type="noConversion"/>
  </si>
  <si>
    <t>±0.2</t>
    <phoneticPr fontId="5" type="noConversion"/>
  </si>
  <si>
    <r>
      <rPr>
        <sz val="10"/>
        <rFont val="微软雅黑"/>
        <family val="2"/>
        <charset val="134"/>
      </rPr>
      <t>阴极</t>
    </r>
    <r>
      <rPr>
        <sz val="12"/>
        <rFont val="宋体"/>
        <family val="3"/>
        <charset val="134"/>
      </rPr>
      <t/>
    </r>
    <phoneticPr fontId="5" type="noConversion"/>
  </si>
  <si>
    <r>
      <t>PTO</t>
    </r>
    <r>
      <rPr>
        <sz val="10"/>
        <color theme="1"/>
        <rFont val="微软雅黑"/>
        <family val="2"/>
        <charset val="134"/>
      </rPr>
      <t>阴极涂布</t>
    </r>
    <phoneticPr fontId="6" type="noConversion"/>
  </si>
  <si>
    <r>
      <t>MP</t>
    </r>
    <r>
      <rPr>
        <sz val="10"/>
        <rFont val="微软雅黑"/>
        <family val="2"/>
        <charset val="134"/>
      </rPr>
      <t>阴极涂布水平</t>
    </r>
    <phoneticPr fontId="6" type="noConversion"/>
  </si>
  <si>
    <r>
      <rPr>
        <sz val="10"/>
        <rFont val="微软雅黑"/>
        <family val="2"/>
        <charset val="134"/>
      </rPr>
      <t>阴极</t>
    </r>
    <phoneticPr fontId="5" type="noConversion"/>
  </si>
  <si>
    <r>
      <rPr>
        <sz val="10"/>
        <rFont val="微软雅黑"/>
        <family val="2"/>
        <charset val="134"/>
      </rPr>
      <t>涂布尺寸精度</t>
    </r>
    <r>
      <rPr>
        <sz val="10"/>
        <rFont val="Calibri"/>
        <family val="2"/>
      </rPr>
      <t xml:space="preserve"> mm</t>
    </r>
  </si>
  <si>
    <r>
      <t>COV</t>
    </r>
    <r>
      <rPr>
        <sz val="10"/>
        <rFont val="微软雅黑"/>
        <family val="2"/>
        <charset val="134"/>
      </rPr>
      <t>≤</t>
    </r>
    <r>
      <rPr>
        <sz val="10"/>
        <rFont val="Calibri"/>
        <family val="2"/>
      </rPr>
      <t>0.60%</t>
    </r>
    <phoneticPr fontId="6" type="noConversion"/>
  </si>
  <si>
    <r>
      <t>COV</t>
    </r>
    <r>
      <rPr>
        <sz val="10"/>
        <rFont val="微软雅黑"/>
        <family val="2"/>
        <charset val="134"/>
      </rPr>
      <t>≤</t>
    </r>
    <r>
      <rPr>
        <sz val="10"/>
        <rFont val="Calibri"/>
        <family val="2"/>
      </rPr>
      <t>0.45%</t>
    </r>
    <phoneticPr fontId="6" type="noConversion"/>
  </si>
  <si>
    <r>
      <t>COV</t>
    </r>
    <r>
      <rPr>
        <sz val="10"/>
        <rFont val="微软雅黑"/>
        <family val="2"/>
        <charset val="134"/>
      </rPr>
      <t>≤</t>
    </r>
    <r>
      <rPr>
        <sz val="10"/>
        <rFont val="Calibri"/>
        <family val="2"/>
      </rPr>
      <t>0.55%</t>
    </r>
    <phoneticPr fontId="6" type="noConversion"/>
  </si>
  <si>
    <r>
      <rPr>
        <sz val="10"/>
        <color theme="1"/>
        <rFont val="微软雅黑"/>
        <family val="2"/>
        <charset val="134"/>
      </rPr>
      <t>（</t>
    </r>
    <r>
      <rPr>
        <sz val="10"/>
        <color theme="1"/>
        <rFont val="Calibri"/>
        <family val="2"/>
      </rPr>
      <t>-10</t>
    </r>
    <r>
      <rPr>
        <sz val="10"/>
        <color theme="1"/>
        <rFont val="微软雅黑"/>
        <family val="2"/>
        <charset val="134"/>
      </rPr>
      <t>，</t>
    </r>
    <r>
      <rPr>
        <sz val="10"/>
        <color theme="1"/>
        <rFont val="Calibri"/>
        <family val="2"/>
      </rPr>
      <t>2</t>
    </r>
    <r>
      <rPr>
        <sz val="10"/>
        <color theme="1"/>
        <rFont val="微软雅黑"/>
        <family val="2"/>
        <charset val="134"/>
      </rPr>
      <t>）</t>
    </r>
  </si>
  <si>
    <r>
      <t>L</t>
    </r>
    <r>
      <rPr>
        <sz val="10"/>
        <rFont val="微软雅黑"/>
        <family val="2"/>
        <charset val="134"/>
      </rPr>
      <t>≤</t>
    </r>
    <r>
      <rPr>
        <sz val="10"/>
        <rFont val="Calibri"/>
        <family val="2"/>
      </rPr>
      <t>±1.5</t>
    </r>
    <r>
      <rPr>
        <sz val="10"/>
        <rFont val="微软雅黑"/>
        <family val="2"/>
        <charset val="134"/>
      </rPr>
      <t>、</t>
    </r>
    <r>
      <rPr>
        <sz val="10"/>
        <rFont val="Calibri"/>
        <family val="2"/>
      </rPr>
      <t>W</t>
    </r>
    <r>
      <rPr>
        <sz val="10"/>
        <rFont val="微软雅黑"/>
        <family val="2"/>
        <charset val="134"/>
      </rPr>
      <t>≤</t>
    </r>
    <r>
      <rPr>
        <sz val="10"/>
        <rFont val="Calibri"/>
        <family val="2"/>
      </rPr>
      <t>±0.5</t>
    </r>
    <phoneticPr fontId="6" type="noConversion"/>
  </si>
  <si>
    <r>
      <t>L</t>
    </r>
    <r>
      <rPr>
        <sz val="10"/>
        <rFont val="微软雅黑"/>
        <family val="2"/>
        <charset val="134"/>
      </rPr>
      <t>≤</t>
    </r>
    <r>
      <rPr>
        <sz val="10"/>
        <rFont val="Calibri"/>
        <family val="2"/>
      </rPr>
      <t>±1</t>
    </r>
    <r>
      <rPr>
        <sz val="10"/>
        <rFont val="微软雅黑"/>
        <family val="2"/>
        <charset val="134"/>
      </rPr>
      <t>、</t>
    </r>
    <r>
      <rPr>
        <sz val="10"/>
        <rFont val="Calibri"/>
        <family val="2"/>
      </rPr>
      <t>W</t>
    </r>
    <r>
      <rPr>
        <sz val="10"/>
        <rFont val="微软雅黑"/>
        <family val="2"/>
        <charset val="134"/>
      </rPr>
      <t>≤</t>
    </r>
    <r>
      <rPr>
        <sz val="10"/>
        <rFont val="Calibri"/>
        <family val="2"/>
      </rPr>
      <t>±0.5</t>
    </r>
  </si>
  <si>
    <r>
      <rPr>
        <sz val="10"/>
        <rFont val="微软雅黑"/>
        <family val="2"/>
        <charset val="134"/>
      </rPr>
      <t>单面</t>
    </r>
    <r>
      <rPr>
        <sz val="10"/>
        <rFont val="Calibri"/>
        <family val="2"/>
      </rPr>
      <t>CPK&gt;1.1(±5mg)</t>
    </r>
  </si>
  <si>
    <r>
      <rPr>
        <sz val="10"/>
        <rFont val="微软雅黑"/>
        <family val="2"/>
        <charset val="134"/>
      </rPr>
      <t>单面</t>
    </r>
    <r>
      <rPr>
        <sz val="10"/>
        <rFont val="Calibri"/>
        <family val="2"/>
      </rPr>
      <t>COV&lt;0.3%</t>
    </r>
    <phoneticPr fontId="6" type="noConversion"/>
  </si>
  <si>
    <r>
      <rPr>
        <sz val="10"/>
        <rFont val="微软雅黑"/>
        <family val="2"/>
        <charset val="134"/>
      </rPr>
      <t>双面</t>
    </r>
    <r>
      <rPr>
        <sz val="10"/>
        <rFont val="Calibri"/>
        <family val="2"/>
      </rPr>
      <t>CPK&gt;1.5(±10mg)</t>
    </r>
  </si>
  <si>
    <r>
      <rPr>
        <sz val="10"/>
        <rFont val="微软雅黑"/>
        <family val="2"/>
        <charset val="134"/>
      </rPr>
      <t>双面</t>
    </r>
    <r>
      <rPr>
        <sz val="10"/>
        <rFont val="Calibri"/>
        <family val="2"/>
      </rPr>
      <t>COV&lt;0.4%</t>
    </r>
  </si>
  <si>
    <r>
      <t>L</t>
    </r>
    <r>
      <rPr>
        <sz val="10"/>
        <color theme="1"/>
        <rFont val="微软雅黑"/>
        <family val="2"/>
        <charset val="134"/>
      </rPr>
      <t>≤</t>
    </r>
    <r>
      <rPr>
        <sz val="10"/>
        <color theme="1"/>
        <rFont val="Calibri"/>
        <family val="2"/>
      </rPr>
      <t>±1</t>
    </r>
    <r>
      <rPr>
        <sz val="10"/>
        <color theme="1"/>
        <rFont val="微软雅黑"/>
        <family val="2"/>
        <charset val="134"/>
      </rPr>
      <t>、</t>
    </r>
    <r>
      <rPr>
        <sz val="10"/>
        <color theme="1"/>
        <rFont val="Calibri"/>
        <family val="2"/>
      </rPr>
      <t>W</t>
    </r>
    <r>
      <rPr>
        <sz val="10"/>
        <color theme="1"/>
        <rFont val="微软雅黑"/>
        <family val="2"/>
        <charset val="134"/>
      </rPr>
      <t>≤</t>
    </r>
    <r>
      <rPr>
        <sz val="10"/>
        <color theme="1"/>
        <rFont val="Calibri"/>
        <family val="2"/>
      </rPr>
      <t>±1</t>
    </r>
  </si>
  <si>
    <r>
      <t xml:space="preserve">         </t>
    </r>
    <r>
      <rPr>
        <sz val="10"/>
        <rFont val="微软雅黑"/>
        <family val="2"/>
        <charset val="134"/>
      </rPr>
      <t>≤</t>
    </r>
    <r>
      <rPr>
        <sz val="10"/>
        <rFont val="Calibri"/>
        <family val="2"/>
      </rPr>
      <t>5000</t>
    </r>
    <r>
      <rPr>
        <sz val="10"/>
        <rFont val="微软雅黑"/>
        <family val="2"/>
        <charset val="134"/>
      </rPr>
      <t>：</t>
    </r>
    <r>
      <rPr>
        <sz val="10"/>
        <rFont val="Calibri"/>
        <family val="2"/>
      </rPr>
      <t>±2
5000-12000</t>
    </r>
    <r>
      <rPr>
        <sz val="10"/>
        <rFont val="微软雅黑"/>
        <family val="2"/>
        <charset val="134"/>
      </rPr>
      <t>：</t>
    </r>
    <r>
      <rPr>
        <sz val="10"/>
        <rFont val="Calibri"/>
        <family val="2"/>
      </rPr>
      <t>±3</t>
    </r>
    <phoneticPr fontId="5" type="noConversion"/>
  </si>
  <si>
    <t>Width</t>
    <phoneticPr fontId="5" type="noConversion"/>
  </si>
  <si>
    <r>
      <rPr>
        <sz val="10.5"/>
        <color theme="1"/>
        <rFont val="宋体"/>
        <family val="3"/>
        <charset val="134"/>
      </rPr>
      <t>单层尺寸修正：理论计算每一层都是紧贴的，实际阴阳极隔离膜之间必定有间隙，导致尺寸会比理论长度要长，需要修正，一般</t>
    </r>
    <r>
      <rPr>
        <sz val="10.5"/>
        <color theme="1"/>
        <rFont val="Calibri"/>
        <family val="2"/>
      </rPr>
      <t>0.1~0.2mm</t>
    </r>
    <r>
      <rPr>
        <sz val="10.5"/>
        <color theme="1"/>
        <rFont val="宋体"/>
        <family val="3"/>
        <charset val="134"/>
      </rPr>
      <t>；</t>
    </r>
  </si>
  <si>
    <r>
      <rPr>
        <sz val="10"/>
        <rFont val="宋体"/>
        <family val="3"/>
        <charset val="134"/>
      </rPr>
      <t>阳极底部</t>
    </r>
    <r>
      <rPr>
        <sz val="10"/>
        <rFont val="Calibri"/>
        <family val="2"/>
      </rPr>
      <t>overhang</t>
    </r>
    <phoneticPr fontId="5" type="noConversion"/>
  </si>
  <si>
    <t>mm</t>
    <phoneticPr fontId="5" type="noConversion"/>
  </si>
  <si>
    <r>
      <rPr>
        <sz val="10"/>
        <color theme="1"/>
        <rFont val="宋体"/>
        <family val="3"/>
        <charset val="134"/>
      </rPr>
      <t>阳极顶部</t>
    </r>
    <r>
      <rPr>
        <sz val="10"/>
        <color theme="1"/>
        <rFont val="Calibri"/>
        <family val="2"/>
      </rPr>
      <t>overhang</t>
    </r>
    <phoneticPr fontId="5" type="noConversion"/>
  </si>
  <si>
    <r>
      <t>AT9</t>
    </r>
    <r>
      <rPr>
        <sz val="10"/>
        <color theme="1"/>
        <rFont val="宋体"/>
        <family val="3"/>
        <charset val="134"/>
      </rPr>
      <t>超阳极</t>
    </r>
    <phoneticPr fontId="5" type="noConversion"/>
  </si>
  <si>
    <r>
      <rPr>
        <sz val="10"/>
        <rFont val="宋体"/>
        <family val="3"/>
        <charset val="134"/>
      </rPr>
      <t>量产工艺是否</t>
    </r>
    <r>
      <rPr>
        <sz val="10"/>
        <rFont val="Calibri"/>
        <family val="2"/>
      </rPr>
      <t>ok</t>
    </r>
    <r>
      <rPr>
        <sz val="10"/>
        <rFont val="宋体"/>
        <family val="3"/>
        <charset val="134"/>
      </rPr>
      <t>？</t>
    </r>
    <phoneticPr fontId="5" type="noConversion"/>
  </si>
  <si>
    <t>True volume</t>
    <phoneticPr fontId="5" type="noConversion"/>
  </si>
  <si>
    <r>
      <t xml:space="preserve">2. </t>
    </r>
    <r>
      <rPr>
        <b/>
        <sz val="12"/>
        <rFont val="微软雅黑"/>
        <family val="2"/>
        <charset val="134"/>
      </rPr>
      <t>制造成本核算</t>
    </r>
    <phoneticPr fontId="5" type="noConversion"/>
  </si>
  <si>
    <r>
      <rPr>
        <sz val="10"/>
        <rFont val="宋体"/>
        <family val="3"/>
        <charset val="134"/>
      </rPr>
      <t>隔膜底部</t>
    </r>
    <r>
      <rPr>
        <sz val="10"/>
        <rFont val="Calibri"/>
        <family val="2"/>
      </rPr>
      <t>overhang</t>
    </r>
    <phoneticPr fontId="5" type="noConversion"/>
  </si>
  <si>
    <r>
      <rPr>
        <b/>
        <sz val="11"/>
        <rFont val="宋体"/>
        <family val="3"/>
        <charset val="134"/>
      </rPr>
      <t>中间计算过程</t>
    </r>
    <r>
      <rPr>
        <b/>
        <sz val="11"/>
        <rFont val="Calibri"/>
        <family val="2"/>
      </rPr>
      <t>-----</t>
    </r>
    <r>
      <rPr>
        <b/>
        <sz val="11"/>
        <rFont val="宋体"/>
        <family val="3"/>
        <charset val="134"/>
      </rPr>
      <t>极片参数</t>
    </r>
    <phoneticPr fontId="5" type="noConversion"/>
  </si>
  <si>
    <r>
      <rPr>
        <b/>
        <sz val="11"/>
        <rFont val="宋体"/>
        <family val="3"/>
        <charset val="134"/>
      </rPr>
      <t>中间计算过程</t>
    </r>
    <r>
      <rPr>
        <b/>
        <sz val="11"/>
        <rFont val="Calibri"/>
        <family val="2"/>
      </rPr>
      <t xml:space="preserve"> ----- </t>
    </r>
    <r>
      <rPr>
        <b/>
        <sz val="11"/>
        <rFont val="宋体"/>
        <family val="3"/>
        <charset val="134"/>
      </rPr>
      <t>极耳模切尺寸</t>
    </r>
    <phoneticPr fontId="5" type="noConversion"/>
  </si>
  <si>
    <t>壳体内腔宽</t>
    <phoneticPr fontId="6" type="noConversion"/>
  </si>
  <si>
    <t>壳体内腔厚</t>
    <phoneticPr fontId="6" type="noConversion"/>
  </si>
  <si>
    <t>要切的总刀数</t>
    <phoneticPr fontId="6" type="noConversion"/>
  </si>
  <si>
    <t>Revision History</t>
    <phoneticPr fontId="6" type="noConversion"/>
  </si>
  <si>
    <t>REV.</t>
    <phoneticPr fontId="6" type="noConversion"/>
  </si>
  <si>
    <t>Change Item</t>
    <phoneticPr fontId="6" type="noConversion"/>
  </si>
  <si>
    <t>Date</t>
    <phoneticPr fontId="6" type="noConversion"/>
  </si>
  <si>
    <t>Signature</t>
    <phoneticPr fontId="6" type="noConversion"/>
  </si>
  <si>
    <t>V1</t>
    <phoneticPr fontId="6" type="noConversion"/>
  </si>
  <si>
    <t>保液系数(g/Ah)</t>
    <phoneticPr fontId="6" type="noConversion"/>
  </si>
  <si>
    <t>最低保液系数(g/Ah)</t>
    <phoneticPr fontId="6" type="noConversion"/>
  </si>
  <si>
    <t>最高保液系数(g/Ah)</t>
    <phoneticPr fontId="6" type="noConversion"/>
  </si>
  <si>
    <t>Weight(g)</t>
    <phoneticPr fontId="5" type="noConversion"/>
  </si>
  <si>
    <t>极片头部</t>
    <phoneticPr fontId="5" type="noConversion"/>
  </si>
  <si>
    <t>极片尾部</t>
    <phoneticPr fontId="5" type="noConversion"/>
  </si>
  <si>
    <t>本图为单面涂布专用</t>
    <phoneticPr fontId="5" type="noConversion"/>
  </si>
  <si>
    <t>Li ZH</t>
    <phoneticPr fontId="6" type="noConversion"/>
  </si>
  <si>
    <t>隔膜下压</t>
    <phoneticPr fontId="5" type="noConversion"/>
  </si>
  <si>
    <t>顶封宽度理论计算值</t>
    <phoneticPr fontId="5" type="noConversion"/>
  </si>
  <si>
    <t>顶封宽度</t>
    <phoneticPr fontId="6" type="noConversion"/>
  </si>
  <si>
    <r>
      <rPr>
        <sz val="10"/>
        <rFont val="宋体"/>
        <family val="3"/>
        <charset val="134"/>
      </rPr>
      <t>默认≥</t>
    </r>
    <r>
      <rPr>
        <sz val="10"/>
        <rFont val="Calibri"/>
        <family val="2"/>
      </rPr>
      <t>5mm</t>
    </r>
    <phoneticPr fontId="5" type="noConversion"/>
  </si>
  <si>
    <r>
      <rPr>
        <sz val="10"/>
        <rFont val="宋体"/>
        <family val="3"/>
        <charset val="134"/>
      </rPr>
      <t>默认≥</t>
    </r>
    <r>
      <rPr>
        <sz val="10"/>
        <rFont val="Calibri"/>
        <family val="2"/>
      </rPr>
      <t>3mm</t>
    </r>
    <phoneticPr fontId="5" type="noConversion"/>
  </si>
  <si>
    <t>默认工艺，不影响其他参数</t>
    <phoneticPr fontId="5" type="noConversion"/>
  </si>
  <si>
    <r>
      <rPr>
        <sz val="10"/>
        <rFont val="宋体"/>
        <family val="3"/>
        <charset val="134"/>
      </rPr>
      <t>输出值，默认≥</t>
    </r>
    <r>
      <rPr>
        <sz val="10"/>
        <rFont val="Calibri"/>
        <family val="2"/>
      </rPr>
      <t>5mm</t>
    </r>
    <r>
      <rPr>
        <sz val="10"/>
        <rFont val="宋体"/>
        <family val="3"/>
        <charset val="134"/>
      </rPr>
      <t>；输入条件：阴阳极</t>
    </r>
    <r>
      <rPr>
        <sz val="10"/>
        <rFont val="Calibri"/>
        <family val="2"/>
      </rPr>
      <t>overhang</t>
    </r>
    <r>
      <rPr>
        <sz val="10"/>
        <rFont val="宋体"/>
        <family val="3"/>
        <charset val="134"/>
      </rPr>
      <t>及底部顶部分配情况；边界条件：</t>
    </r>
    <r>
      <rPr>
        <sz val="10"/>
        <rFont val="Calibri"/>
        <family val="2"/>
      </rPr>
      <t>AT9</t>
    </r>
    <r>
      <rPr>
        <sz val="10"/>
        <rFont val="宋体"/>
        <family val="3"/>
        <charset val="134"/>
      </rPr>
      <t>不超过隔离膜，下图为详细计算过程</t>
    </r>
    <phoneticPr fontId="5" type="noConversion"/>
  </si>
  <si>
    <t>AT9</t>
    <phoneticPr fontId="5" type="noConversion"/>
  </si>
  <si>
    <t>CNT</t>
    <phoneticPr fontId="6" type="noConversion"/>
  </si>
  <si>
    <t>LA133</t>
    <phoneticPr fontId="5" type="noConversion"/>
  </si>
  <si>
    <t>SR-1B</t>
    <phoneticPr fontId="6" type="noConversion"/>
  </si>
  <si>
    <t>SP</t>
    <phoneticPr fontId="6" type="noConversion"/>
  </si>
  <si>
    <t>CNT</t>
    <phoneticPr fontId="5" type="noConversion"/>
  </si>
  <si>
    <t>注：本页主要核算软连接＆焊印选型及极耳错位，仅供参考</t>
    <phoneticPr fontId="6" type="noConversion"/>
  </si>
  <si>
    <r>
      <rPr>
        <sz val="10"/>
        <color rgb="FFFF0000"/>
        <rFont val="宋体"/>
        <family val="3"/>
        <charset val="134"/>
      </rPr>
      <t>注</t>
    </r>
    <r>
      <rPr>
        <sz val="10"/>
        <color rgb="FFFF0000"/>
        <rFont val="Calibri"/>
        <family val="2"/>
      </rPr>
      <t>1</t>
    </r>
    <r>
      <rPr>
        <sz val="10"/>
        <color rgb="FFFF0000"/>
        <rFont val="宋体"/>
        <family val="3"/>
        <charset val="134"/>
      </rPr>
      <t>：本页可计算电芯重量的公差范围，普通设计可不用</t>
    </r>
    <phoneticPr fontId="6" type="noConversion"/>
  </si>
  <si>
    <t>阳极距离卷绕底部距离</t>
    <phoneticPr fontId="6" type="noConversion"/>
  </si>
  <si>
    <r>
      <rPr>
        <sz val="8"/>
        <rFont val="宋体"/>
        <family val="3"/>
        <charset val="134"/>
      </rPr>
      <t>长度方向阴阳极</t>
    </r>
    <r>
      <rPr>
        <sz val="8"/>
        <rFont val="Calibri"/>
        <family val="2"/>
      </rPr>
      <t>overhang</t>
    </r>
    <phoneticPr fontId="5" type="noConversion"/>
  </si>
  <si>
    <t>D44</t>
  </si>
  <si>
    <t>D45</t>
  </si>
  <si>
    <t>D46</t>
  </si>
  <si>
    <t>D47</t>
  </si>
  <si>
    <t>D48</t>
  </si>
  <si>
    <r>
      <rPr>
        <sz val="10"/>
        <rFont val="宋体"/>
        <family val="3"/>
        <charset val="134"/>
      </rPr>
      <t>阴极</t>
    </r>
    <r>
      <rPr>
        <sz val="10"/>
        <rFont val="Calibri"/>
        <family val="2"/>
      </rPr>
      <t>+AT9</t>
    </r>
    <r>
      <rPr>
        <sz val="10"/>
        <rFont val="宋体"/>
        <family val="3"/>
        <charset val="134"/>
      </rPr>
      <t>宽</t>
    </r>
    <r>
      <rPr>
        <sz val="10"/>
        <rFont val="Calibri"/>
        <family val="2"/>
      </rPr>
      <t>:L2=</t>
    </r>
    <phoneticPr fontId="5" type="noConversion"/>
  </si>
  <si>
    <t>热压后PCS</t>
    <phoneticPr fontId="6" type="noConversion"/>
  </si>
  <si>
    <t>热压前PCS</t>
    <phoneticPr fontId="6" type="noConversion"/>
  </si>
  <si>
    <t>Pattern</t>
    <phoneticPr fontId="6" type="noConversion"/>
  </si>
  <si>
    <t>热压后</t>
    <phoneticPr fontId="6" type="noConversion"/>
  </si>
  <si>
    <t>热压前</t>
    <phoneticPr fontId="6" type="noConversion"/>
  </si>
  <si>
    <r>
      <rPr>
        <sz val="8"/>
        <rFont val="宋体"/>
        <family val="3"/>
        <charset val="134"/>
      </rPr>
      <t xml:space="preserve">箔材厚度
</t>
    </r>
    <r>
      <rPr>
        <sz val="8"/>
        <rFont val="Calibri"/>
        <family val="2"/>
      </rPr>
      <t>@</t>
    </r>
    <r>
      <rPr>
        <sz val="8"/>
        <rFont val="宋体"/>
        <family val="3"/>
        <charset val="134"/>
      </rPr>
      <t>热压前</t>
    </r>
    <phoneticPr fontId="6" type="noConversion"/>
  </si>
  <si>
    <t>单层长度(修正后)</t>
    <phoneticPr fontId="5" type="noConversion"/>
  </si>
  <si>
    <t>注：模切尺寸中极耳宽度统一按底部宽度计算</t>
    <phoneticPr fontId="6" type="noConversion"/>
  </si>
  <si>
    <t>D49</t>
  </si>
  <si>
    <t>D50</t>
  </si>
  <si>
    <t>D51</t>
  </si>
  <si>
    <t>D52</t>
  </si>
  <si>
    <t>D53</t>
  </si>
  <si>
    <t>D54</t>
  </si>
  <si>
    <t>D55</t>
  </si>
  <si>
    <t>D56</t>
  </si>
  <si>
    <t>D57</t>
  </si>
  <si>
    <t>D58</t>
  </si>
  <si>
    <t>D59</t>
  </si>
  <si>
    <t>D60</t>
  </si>
  <si>
    <t>模切尺寸计算</t>
    <phoneticPr fontId="6" type="noConversion"/>
  </si>
  <si>
    <t>a=a1+a2</t>
    <phoneticPr fontId="6" type="noConversion"/>
  </si>
  <si>
    <t>b=b1+b2</t>
    <phoneticPr fontId="6" type="noConversion"/>
  </si>
  <si>
    <r>
      <rPr>
        <sz val="8"/>
        <rFont val="宋体"/>
        <family val="3"/>
        <charset val="134"/>
      </rPr>
      <t>每圈的延长量</t>
    </r>
    <phoneticPr fontId="6" type="noConversion"/>
  </si>
  <si>
    <r>
      <rPr>
        <sz val="8"/>
        <rFont val="宋体"/>
        <family val="3"/>
        <charset val="134"/>
      </rPr>
      <t>阴阳极</t>
    </r>
    <r>
      <rPr>
        <sz val="8"/>
        <rFont val="Calibri"/>
        <family val="2"/>
      </rPr>
      <t>+2</t>
    </r>
    <r>
      <rPr>
        <sz val="8"/>
        <rFont val="宋体"/>
        <family val="3"/>
        <charset val="134"/>
      </rPr>
      <t>层隔膜总厚度</t>
    </r>
    <phoneticPr fontId="6" type="noConversion"/>
  </si>
  <si>
    <r>
      <t>PI*(</t>
    </r>
    <r>
      <rPr>
        <sz val="8"/>
        <rFont val="宋体"/>
        <family val="3"/>
        <charset val="134"/>
      </rPr>
      <t>阴阳极</t>
    </r>
    <r>
      <rPr>
        <sz val="8"/>
        <rFont val="Calibri"/>
        <family val="2"/>
      </rPr>
      <t>+2</t>
    </r>
    <r>
      <rPr>
        <sz val="8"/>
        <rFont val="宋体"/>
        <family val="3"/>
        <charset val="134"/>
      </rPr>
      <t>层隔膜总厚度</t>
    </r>
    <r>
      <rPr>
        <sz val="8"/>
        <rFont val="Calibri"/>
        <family val="2"/>
      </rPr>
      <t>)</t>
    </r>
    <phoneticPr fontId="6" type="noConversion"/>
  </si>
  <si>
    <r>
      <rPr>
        <sz val="8"/>
        <color theme="1"/>
        <rFont val="宋体"/>
        <family val="3"/>
        <charset val="134"/>
      </rPr>
      <t>阳极厚度</t>
    </r>
    <r>
      <rPr>
        <sz val="8"/>
        <color theme="1"/>
        <rFont val="Calibri"/>
        <family val="2"/>
      </rPr>
      <t>@</t>
    </r>
    <r>
      <rPr>
        <sz val="8"/>
        <color theme="1"/>
        <rFont val="宋体"/>
        <family val="3"/>
        <charset val="134"/>
      </rPr>
      <t>卷绕</t>
    </r>
    <phoneticPr fontId="6" type="noConversion"/>
  </si>
  <si>
    <t>极耳间距</t>
    <phoneticPr fontId="6" type="noConversion"/>
  </si>
  <si>
    <r>
      <t>卷绕反弹
(</t>
    </r>
    <r>
      <rPr>
        <i/>
        <sz val="8"/>
        <rFont val="宋体"/>
        <family val="3"/>
        <charset val="134"/>
      </rPr>
      <t>vs</t>
    </r>
    <r>
      <rPr>
        <sz val="8"/>
        <rFont val="宋体"/>
        <family val="3"/>
        <charset val="134"/>
      </rPr>
      <t>冷压)</t>
    </r>
    <phoneticPr fontId="5" type="noConversion"/>
  </si>
  <si>
    <t>满充反弹
(vs冷压)</t>
    <phoneticPr fontId="5" type="noConversion"/>
  </si>
  <si>
    <r>
      <t>EOL</t>
    </r>
    <r>
      <rPr>
        <sz val="8"/>
        <rFont val="宋体"/>
        <family val="3"/>
        <charset val="134"/>
      </rPr>
      <t>反弹
(vs冷压)</t>
    </r>
    <phoneticPr fontId="5" type="noConversion"/>
  </si>
  <si>
    <t>常规热压后</t>
    <phoneticPr fontId="6" type="noConversion"/>
  </si>
  <si>
    <t>热压后</t>
    <phoneticPr fontId="6" type="noConversion"/>
  </si>
  <si>
    <t>mm</t>
    <phoneticPr fontId="5" type="noConversion"/>
  </si>
  <si>
    <t>阳极膜上极耳</t>
    <phoneticPr fontId="5" type="noConversion"/>
  </si>
  <si>
    <t>本页</t>
    <phoneticPr fontId="6" type="noConversion"/>
  </si>
  <si>
    <t>BOM</t>
    <phoneticPr fontId="6" type="noConversion"/>
  </si>
  <si>
    <r>
      <t xml:space="preserve">Input ------- </t>
    </r>
    <r>
      <rPr>
        <b/>
        <sz val="11"/>
        <rFont val="宋体"/>
        <family val="3"/>
        <charset val="134"/>
      </rPr>
      <t>极耳</t>
    </r>
    <phoneticPr fontId="5" type="noConversion"/>
  </si>
  <si>
    <r>
      <rPr>
        <sz val="8"/>
        <color theme="1"/>
        <rFont val="宋体"/>
        <family val="2"/>
      </rPr>
      <t>上宽</t>
    </r>
    <phoneticPr fontId="6" type="noConversion"/>
  </si>
  <si>
    <r>
      <rPr>
        <sz val="8"/>
        <color theme="1"/>
        <rFont val="宋体"/>
        <family val="2"/>
      </rPr>
      <t>下宽</t>
    </r>
    <phoneticPr fontId="6" type="noConversion"/>
  </si>
  <si>
    <r>
      <t>tab</t>
    </r>
    <r>
      <rPr>
        <sz val="8"/>
        <rFont val="宋体"/>
        <family val="3"/>
        <charset val="134"/>
      </rPr>
      <t>数量</t>
    </r>
    <phoneticPr fontId="5" type="noConversion"/>
  </si>
  <si>
    <r>
      <rPr>
        <sz val="8"/>
        <rFont val="宋体"/>
        <family val="3"/>
        <charset val="134"/>
      </rPr>
      <t>总长</t>
    </r>
    <phoneticPr fontId="5" type="noConversion"/>
  </si>
  <si>
    <t>D61</t>
  </si>
  <si>
    <t>D62</t>
  </si>
  <si>
    <t>D63</t>
  </si>
  <si>
    <t>D64</t>
  </si>
  <si>
    <t>D65</t>
  </si>
  <si>
    <t>D66</t>
  </si>
  <si>
    <t>D67</t>
  </si>
  <si>
    <t>D68</t>
  </si>
  <si>
    <t>D69</t>
  </si>
  <si>
    <t>D70</t>
  </si>
  <si>
    <t>D71</t>
  </si>
  <si>
    <t>D72</t>
  </si>
  <si>
    <t>D73</t>
  </si>
  <si>
    <t>D74</t>
  </si>
  <si>
    <t>D75</t>
  </si>
  <si>
    <t>D76</t>
  </si>
  <si>
    <t>D77</t>
  </si>
  <si>
    <t>D78</t>
  </si>
  <si>
    <t>D79</t>
  </si>
  <si>
    <t>D80</t>
  </si>
  <si>
    <t>D81</t>
  </si>
  <si>
    <t>D82</t>
  </si>
  <si>
    <t>D83</t>
  </si>
  <si>
    <t>D84</t>
  </si>
  <si>
    <t>D85</t>
  </si>
  <si>
    <t>D86</t>
  </si>
  <si>
    <t>D87</t>
  </si>
  <si>
    <t>D88</t>
  </si>
  <si>
    <t>D89</t>
  </si>
  <si>
    <t>D90</t>
  </si>
  <si>
    <t>D91</t>
  </si>
  <si>
    <t>D92</t>
  </si>
  <si>
    <t>D93</t>
  </si>
  <si>
    <t>D94</t>
  </si>
  <si>
    <t>D95</t>
  </si>
  <si>
    <t>D96</t>
  </si>
  <si>
    <t>D97</t>
  </si>
  <si>
    <t>D98</t>
  </si>
  <si>
    <t>D99</t>
  </si>
  <si>
    <t>D100</t>
  </si>
  <si>
    <t>最后一刀长</t>
    <phoneticPr fontId="6" type="noConversion"/>
  </si>
  <si>
    <t>阴极修正系数</t>
    <phoneticPr fontId="5" type="noConversion"/>
  </si>
  <si>
    <t>阳极修正系数</t>
    <phoneticPr fontId="5" type="noConversion"/>
  </si>
  <si>
    <t>阳极距离底部距离</t>
    <phoneticPr fontId="5" type="noConversion"/>
  </si>
  <si>
    <t>阴极头部距离底部距离</t>
    <phoneticPr fontId="5" type="noConversion"/>
  </si>
  <si>
    <r>
      <rPr>
        <sz val="8"/>
        <rFont val="宋体"/>
        <family val="3"/>
        <charset val="134"/>
      </rPr>
      <t>阴极</t>
    </r>
    <r>
      <rPr>
        <sz val="8"/>
        <rFont val="Calibri"/>
        <family val="2"/>
      </rPr>
      <t>tab</t>
    </r>
    <r>
      <rPr>
        <sz val="8"/>
        <rFont val="宋体"/>
        <family val="3"/>
        <charset val="134"/>
      </rPr>
      <t>宽度</t>
    </r>
    <phoneticPr fontId="5" type="noConversion"/>
  </si>
  <si>
    <r>
      <rPr>
        <sz val="8"/>
        <rFont val="宋体"/>
        <family val="3"/>
        <charset val="134"/>
      </rPr>
      <t>阳极</t>
    </r>
    <r>
      <rPr>
        <sz val="8"/>
        <rFont val="Calibri"/>
        <family val="2"/>
      </rPr>
      <t>tab</t>
    </r>
    <r>
      <rPr>
        <sz val="8"/>
        <rFont val="宋体"/>
        <family val="3"/>
        <charset val="134"/>
      </rPr>
      <t>宽度</t>
    </r>
    <phoneticPr fontId="5" type="noConversion"/>
  </si>
  <si>
    <t>首圈周长</t>
    <phoneticPr fontId="6" type="noConversion"/>
  </si>
  <si>
    <t>阴极层数</t>
    <phoneticPr fontId="6" type="noConversion"/>
  </si>
  <si>
    <r>
      <rPr>
        <sz val="8"/>
        <rFont val="宋体"/>
        <family val="3"/>
        <charset val="134"/>
      </rPr>
      <t>第</t>
    </r>
    <r>
      <rPr>
        <sz val="8"/>
        <rFont val="Calibri"/>
        <family val="2"/>
      </rPr>
      <t>1</t>
    </r>
    <r>
      <rPr>
        <sz val="8"/>
        <rFont val="宋体"/>
        <family val="3"/>
        <charset val="134"/>
      </rPr>
      <t>步：</t>
    </r>
    <phoneticPr fontId="6" type="noConversion"/>
  </si>
  <si>
    <r>
      <rPr>
        <sz val="8"/>
        <rFont val="宋体"/>
        <family val="3"/>
        <charset val="134"/>
      </rPr>
      <t>第</t>
    </r>
    <r>
      <rPr>
        <sz val="8"/>
        <rFont val="Calibri"/>
        <family val="2"/>
      </rPr>
      <t>2步：</t>
    </r>
    <r>
      <rPr>
        <sz val="10"/>
        <rFont val="宋体"/>
        <family val="3"/>
        <charset val="134"/>
      </rPr>
      <t/>
    </r>
  </si>
  <si>
    <r>
      <rPr>
        <sz val="8"/>
        <rFont val="宋体"/>
        <family val="3"/>
        <charset val="134"/>
      </rPr>
      <t>第</t>
    </r>
    <r>
      <rPr>
        <sz val="8"/>
        <rFont val="Calibri"/>
        <family val="2"/>
      </rPr>
      <t>3步：</t>
    </r>
    <r>
      <rPr>
        <sz val="10"/>
        <rFont val="宋体"/>
        <family val="3"/>
        <charset val="134"/>
      </rPr>
      <t/>
    </r>
  </si>
  <si>
    <r>
      <rPr>
        <sz val="8"/>
        <rFont val="宋体"/>
        <family val="3"/>
        <charset val="134"/>
      </rPr>
      <t>第</t>
    </r>
    <r>
      <rPr>
        <sz val="8"/>
        <rFont val="Calibri"/>
        <family val="2"/>
      </rPr>
      <t>4步：</t>
    </r>
    <r>
      <rPr>
        <sz val="10"/>
        <rFont val="宋体"/>
        <family val="3"/>
        <charset val="134"/>
      </rPr>
      <t/>
    </r>
  </si>
  <si>
    <r>
      <rPr>
        <sz val="8"/>
        <rFont val="宋体"/>
        <family val="3"/>
        <charset val="134"/>
      </rPr>
      <t>第</t>
    </r>
    <r>
      <rPr>
        <sz val="8"/>
        <rFont val="Calibri"/>
        <family val="2"/>
      </rPr>
      <t>5步：</t>
    </r>
    <r>
      <rPr>
        <sz val="10"/>
        <rFont val="宋体"/>
        <family val="3"/>
        <charset val="134"/>
      </rPr>
      <t/>
    </r>
  </si>
  <si>
    <r>
      <rPr>
        <sz val="8"/>
        <rFont val="宋体"/>
        <family val="3"/>
        <charset val="134"/>
      </rPr>
      <t>第</t>
    </r>
    <r>
      <rPr>
        <sz val="8"/>
        <rFont val="Calibri"/>
        <family val="2"/>
      </rPr>
      <t>6步：</t>
    </r>
    <r>
      <rPr>
        <sz val="10"/>
        <rFont val="宋体"/>
        <family val="3"/>
        <charset val="134"/>
      </rPr>
      <t/>
    </r>
  </si>
  <si>
    <t>返回</t>
    <phoneticPr fontId="6" type="noConversion"/>
  </si>
  <si>
    <r>
      <rPr>
        <sz val="10"/>
        <color rgb="FFFF0000"/>
        <rFont val="宋体"/>
        <family val="3"/>
        <charset val="134"/>
      </rPr>
      <t>一圈一个极耳</t>
    </r>
    <r>
      <rPr>
        <sz val="10"/>
        <rFont val="宋体"/>
        <family val="3"/>
        <charset val="134"/>
      </rPr>
      <t xml:space="preserve">，中心距
</t>
    </r>
    <r>
      <rPr>
        <sz val="10"/>
        <color rgb="FFFF0000"/>
        <rFont val="宋体"/>
        <family val="3"/>
        <charset val="134"/>
      </rPr>
      <t>阳极尺寸</t>
    </r>
    <phoneticPr fontId="5" type="noConversion"/>
  </si>
  <si>
    <r>
      <rPr>
        <sz val="10"/>
        <color rgb="FFFF0000"/>
        <rFont val="宋体"/>
        <family val="3"/>
        <charset val="134"/>
      </rPr>
      <t>一圈一个极耳</t>
    </r>
    <r>
      <rPr>
        <sz val="10"/>
        <rFont val="宋体"/>
        <family val="3"/>
        <charset val="134"/>
      </rPr>
      <t xml:space="preserve">，中心距
</t>
    </r>
    <r>
      <rPr>
        <sz val="10"/>
        <color rgb="FFFF0000"/>
        <rFont val="宋体"/>
        <family val="3"/>
        <charset val="134"/>
      </rPr>
      <t>阴极尺寸</t>
    </r>
    <phoneticPr fontId="5" type="noConversion"/>
  </si>
  <si>
    <r>
      <rPr>
        <sz val="10"/>
        <color rgb="FFFF0000"/>
        <rFont val="宋体"/>
        <family val="3"/>
        <charset val="134"/>
      </rPr>
      <t>一层一个极耳</t>
    </r>
    <r>
      <rPr>
        <sz val="10"/>
        <rFont val="宋体"/>
        <family val="3"/>
        <charset val="134"/>
      </rPr>
      <t xml:space="preserve">，中心距
</t>
    </r>
    <r>
      <rPr>
        <sz val="10"/>
        <color rgb="FFFF0000"/>
        <rFont val="宋体"/>
        <family val="3"/>
        <charset val="134"/>
      </rPr>
      <t>阳极尺寸</t>
    </r>
    <phoneticPr fontId="5" type="noConversion"/>
  </si>
  <si>
    <r>
      <rPr>
        <sz val="10"/>
        <color rgb="FFFF0000"/>
        <rFont val="宋体"/>
        <family val="3"/>
        <charset val="134"/>
      </rPr>
      <t>一层一个极耳</t>
    </r>
    <r>
      <rPr>
        <sz val="10"/>
        <rFont val="宋体"/>
        <family val="3"/>
        <charset val="134"/>
      </rPr>
      <t xml:space="preserve">，中心距
</t>
    </r>
    <r>
      <rPr>
        <sz val="10"/>
        <color rgb="FFFF0000"/>
        <rFont val="宋体"/>
        <family val="3"/>
        <charset val="134"/>
      </rPr>
      <t>阴极尺寸</t>
    </r>
    <phoneticPr fontId="5" type="noConversion"/>
  </si>
  <si>
    <r>
      <rPr>
        <sz val="8"/>
        <rFont val="宋体"/>
        <family val="3"/>
        <charset val="134"/>
      </rPr>
      <t>充电</t>
    </r>
    <r>
      <rPr>
        <sz val="8"/>
        <rFont val="Calibri"/>
        <family val="2"/>
      </rPr>
      <t xml:space="preserve">
Cell balance</t>
    </r>
    <phoneticPr fontId="5" type="noConversion"/>
  </si>
  <si>
    <r>
      <rPr>
        <sz val="8"/>
        <rFont val="宋体"/>
        <family val="3"/>
        <charset val="134"/>
      </rPr>
      <t>放电</t>
    </r>
    <r>
      <rPr>
        <sz val="8"/>
        <rFont val="Calibri"/>
        <family val="2"/>
      </rPr>
      <t>CB</t>
    </r>
    <r>
      <rPr>
        <sz val="8"/>
        <rFont val="宋体"/>
        <family val="3"/>
        <charset val="134"/>
      </rPr>
      <t/>
    </r>
    <phoneticPr fontId="6" type="noConversion"/>
  </si>
  <si>
    <t>连续/间歇涂布</t>
    <phoneticPr fontId="5" type="noConversion"/>
  </si>
  <si>
    <r>
      <rPr>
        <sz val="8"/>
        <rFont val="宋体"/>
        <family val="3"/>
        <charset val="134"/>
      </rPr>
      <t>间歇涂布默认第</t>
    </r>
    <r>
      <rPr>
        <sz val="8"/>
        <rFont val="Calibri"/>
        <family val="2"/>
      </rPr>
      <t>1</t>
    </r>
    <r>
      <rPr>
        <sz val="8"/>
        <rFont val="宋体"/>
        <family val="3"/>
        <charset val="134"/>
      </rPr>
      <t>、</t>
    </r>
    <r>
      <rPr>
        <sz val="8"/>
        <rFont val="Calibri"/>
        <family val="2"/>
      </rPr>
      <t>2</t>
    </r>
    <r>
      <rPr>
        <sz val="8"/>
        <rFont val="宋体"/>
        <family val="3"/>
        <charset val="134"/>
      </rPr>
      <t>两层为单面区</t>
    </r>
    <phoneticPr fontId="6" type="noConversion"/>
  </si>
  <si>
    <r>
      <rPr>
        <sz val="8"/>
        <rFont val="宋体"/>
        <family val="3"/>
        <charset val="134"/>
      </rPr>
      <t>间歇涂布默认倒数第</t>
    </r>
    <r>
      <rPr>
        <sz val="8"/>
        <rFont val="Calibri"/>
        <family val="2"/>
      </rPr>
      <t>1</t>
    </r>
    <r>
      <rPr>
        <sz val="8"/>
        <rFont val="宋体"/>
        <family val="3"/>
        <charset val="134"/>
      </rPr>
      <t>、</t>
    </r>
    <r>
      <rPr>
        <sz val="8"/>
        <rFont val="Calibri"/>
        <family val="2"/>
      </rPr>
      <t>2</t>
    </r>
    <r>
      <rPr>
        <sz val="8"/>
        <rFont val="宋体"/>
        <family val="3"/>
        <charset val="134"/>
      </rPr>
      <t>两层为单面区</t>
    </r>
    <phoneticPr fontId="6" type="noConversion"/>
  </si>
  <si>
    <t>极耳设计</t>
    <phoneticPr fontId="5" type="noConversion"/>
  </si>
  <si>
    <t>待输入</t>
    <phoneticPr fontId="6" type="noConversion"/>
  </si>
  <si>
    <t>返回</t>
    <phoneticPr fontId="6" type="noConversion"/>
  </si>
  <si>
    <t>电芯数量：</t>
    <phoneticPr fontId="5" type="noConversion"/>
  </si>
  <si>
    <t>1. BOM</t>
    <phoneticPr fontId="5" type="noConversion"/>
  </si>
  <si>
    <t>Item</t>
    <phoneticPr fontId="5" type="noConversion"/>
  </si>
  <si>
    <t>Material name</t>
    <phoneticPr fontId="5" type="noConversion"/>
  </si>
  <si>
    <t>P/N</t>
    <phoneticPr fontId="5" type="noConversion"/>
  </si>
  <si>
    <t>Ratio</t>
    <phoneticPr fontId="5" type="noConversion"/>
  </si>
  <si>
    <t xml:space="preserve">Unit </t>
    <phoneticPr fontId="5" type="noConversion"/>
  </si>
  <si>
    <t>优率</t>
    <phoneticPr fontId="5" type="noConversion"/>
  </si>
  <si>
    <t>备注</t>
    <phoneticPr fontId="6" type="noConversion"/>
  </si>
  <si>
    <t>Price
(RMB/unit)</t>
    <phoneticPr fontId="5" type="noConversion"/>
  </si>
  <si>
    <t>Weight(kg)</t>
    <phoneticPr fontId="5" type="noConversion"/>
  </si>
  <si>
    <t>RMB of cell</t>
    <phoneticPr fontId="5" type="noConversion"/>
  </si>
  <si>
    <t xml:space="preserve"> Cost Ratio</t>
    <phoneticPr fontId="5" type="noConversion"/>
  </si>
  <si>
    <t>Weight Raito</t>
    <phoneticPr fontId="6" type="noConversion"/>
  </si>
  <si>
    <t>Cathode</t>
    <phoneticPr fontId="5" type="noConversion"/>
  </si>
  <si>
    <t>Kg</t>
    <phoneticPr fontId="5" type="noConversion"/>
  </si>
  <si>
    <t>Kg</t>
    <phoneticPr fontId="5" type="noConversion"/>
  </si>
  <si>
    <t>NMP</t>
    <phoneticPr fontId="5" type="noConversion"/>
  </si>
  <si>
    <t xml:space="preserve"> Al foil</t>
    <phoneticPr fontId="5" type="noConversion"/>
  </si>
  <si>
    <t>/</t>
    <phoneticPr fontId="5" type="noConversion"/>
  </si>
  <si>
    <t>m^2</t>
    <phoneticPr fontId="5" type="noConversion"/>
  </si>
  <si>
    <t xml:space="preserve"> Al foil (tab)</t>
    <phoneticPr fontId="5" type="noConversion"/>
  </si>
  <si>
    <t>/</t>
    <phoneticPr fontId="5" type="noConversion"/>
  </si>
  <si>
    <t>Anode</t>
    <phoneticPr fontId="5" type="noConversion"/>
  </si>
  <si>
    <t>DI-Water</t>
    <phoneticPr fontId="5" type="noConversion"/>
  </si>
  <si>
    <t>Cu foil</t>
    <phoneticPr fontId="5" type="noConversion"/>
  </si>
  <si>
    <t>m^2</t>
    <phoneticPr fontId="5" type="noConversion"/>
  </si>
  <si>
    <t>Cu foil (tab)</t>
    <phoneticPr fontId="5" type="noConversion"/>
  </si>
  <si>
    <t>/</t>
    <phoneticPr fontId="5" type="noConversion"/>
  </si>
  <si>
    <t>Electrolyte</t>
    <phoneticPr fontId="5" type="noConversion"/>
  </si>
  <si>
    <t>m^2</t>
    <phoneticPr fontId="5" type="noConversion"/>
  </si>
  <si>
    <r>
      <rPr>
        <sz val="10"/>
        <rFont val="宋体"/>
        <family val="3"/>
        <charset val="134"/>
      </rPr>
      <t>机械物料</t>
    </r>
    <phoneticPr fontId="5" type="noConversion"/>
  </si>
  <si>
    <r>
      <t>Total</t>
    </r>
    <r>
      <rPr>
        <b/>
        <sz val="10"/>
        <color indexed="12"/>
        <rFont val="宋体"/>
        <family val="3"/>
        <charset val="134"/>
      </rPr>
      <t>：</t>
    </r>
    <phoneticPr fontId="5" type="noConversion"/>
  </si>
  <si>
    <r>
      <rPr>
        <b/>
        <sz val="10"/>
        <color indexed="12"/>
        <rFont val="宋体"/>
        <family val="3"/>
        <charset val="134"/>
      </rPr>
      <t>￥</t>
    </r>
    <r>
      <rPr>
        <b/>
        <sz val="10"/>
        <color indexed="12"/>
        <rFont val="Calibri"/>
        <family val="2"/>
      </rPr>
      <t>/wh:</t>
    </r>
    <phoneticPr fontId="5" type="noConversion"/>
  </si>
  <si>
    <t xml:space="preserve"> -------------END---------------</t>
    <phoneticPr fontId="5" type="noConversion"/>
  </si>
  <si>
    <r>
      <rPr>
        <sz val="8"/>
        <color theme="1"/>
        <rFont val="宋体"/>
        <family val="2"/>
        <scheme val="minor"/>
      </rPr>
      <t>隔离膜厚@卷绕</t>
    </r>
    <phoneticPr fontId="6" type="noConversion"/>
  </si>
  <si>
    <r>
      <t>PI*(1</t>
    </r>
    <r>
      <rPr>
        <sz val="8"/>
        <rFont val="宋体"/>
        <family val="3"/>
        <charset val="134"/>
      </rPr>
      <t>层阳极</t>
    </r>
    <r>
      <rPr>
        <sz val="8"/>
        <rFont val="Calibri"/>
        <family val="2"/>
      </rPr>
      <t>+1</t>
    </r>
    <r>
      <rPr>
        <sz val="8"/>
        <rFont val="宋体"/>
        <family val="3"/>
        <charset val="134"/>
      </rPr>
      <t>层隔膜厚度</t>
    </r>
    <r>
      <rPr>
        <sz val="8"/>
        <rFont val="Calibri"/>
        <family val="2"/>
      </rPr>
      <t>)</t>
    </r>
    <phoneticPr fontId="6" type="noConversion"/>
  </si>
  <si>
    <t>方形热压后</t>
    <phoneticPr fontId="6" type="noConversion"/>
  </si>
  <si>
    <t>长度延展
(冷压vs涂布)</t>
    <phoneticPr fontId="5" type="noConversion"/>
  </si>
  <si>
    <t>阴极冷压与模切顺序</t>
    <phoneticPr fontId="6" type="noConversion"/>
  </si>
  <si>
    <t>阳极冷压与模切顺序</t>
    <phoneticPr fontId="6" type="noConversion"/>
  </si>
  <si>
    <t>先冷压后模切</t>
  </si>
  <si>
    <t>Mean 
1C_CAP</t>
    <phoneticPr fontId="5" type="noConversion"/>
  </si>
  <si>
    <t>Min 
1C_CAP</t>
    <phoneticPr fontId="6" type="noConversion"/>
  </si>
  <si>
    <t>Mean 
1/3C_CAP</t>
    <phoneticPr fontId="5" type="noConversion"/>
  </si>
  <si>
    <t>Min 
1/3C_CAP</t>
    <phoneticPr fontId="6" type="noConversion"/>
  </si>
  <si>
    <t>群裕度</t>
    <phoneticPr fontId="6" type="noConversion"/>
  </si>
  <si>
    <t>群裕度</t>
    <phoneticPr fontId="6" type="noConversion"/>
  </si>
  <si>
    <t>宽度方向
(含方形热压)
群裕度是否ok</t>
    <phoneticPr fontId="6" type="noConversion"/>
  </si>
  <si>
    <t>是否方形热压</t>
    <phoneticPr fontId="5" type="noConversion"/>
  </si>
  <si>
    <t>Al foil</t>
    <phoneticPr fontId="6" type="noConversion"/>
  </si>
  <si>
    <t>基材厚度</t>
    <phoneticPr fontId="6" type="noConversion"/>
  </si>
  <si>
    <t>凹版厚度</t>
    <phoneticPr fontId="6" type="noConversion"/>
  </si>
  <si>
    <t>凹版碳黑</t>
    <phoneticPr fontId="5" type="noConversion"/>
  </si>
  <si>
    <t>Kg</t>
    <phoneticPr fontId="5" type="noConversion"/>
  </si>
  <si>
    <t>凹版碳黑</t>
    <phoneticPr fontId="6" type="noConversion"/>
  </si>
  <si>
    <t>连续涂布结构</t>
    <phoneticPr fontId="6" type="noConversion"/>
  </si>
  <si>
    <t>注：阴极涂布方式(连续/间歇)会影响空卷隔膜层数</t>
    <phoneticPr fontId="6" type="noConversion"/>
  </si>
  <si>
    <t>常规热压容许的最大值</t>
    <phoneticPr fontId="6" type="noConversion"/>
  </si>
  <si>
    <t>连续</t>
  </si>
  <si>
    <t>阳极单面区</t>
    <phoneticPr fontId="6" type="noConversion"/>
  </si>
  <si>
    <t>阴极单面区</t>
    <phoneticPr fontId="6" type="noConversion"/>
  </si>
  <si>
    <t>1)</t>
    <phoneticPr fontId="6" type="noConversion"/>
  </si>
  <si>
    <t>2)</t>
  </si>
  <si>
    <t>入料时两层隔离膜夹阴极，包阳极</t>
    <phoneticPr fontId="6" type="noConversion"/>
  </si>
  <si>
    <t>3)</t>
  </si>
  <si>
    <t>4)</t>
    <phoneticPr fontId="6" type="noConversion"/>
  </si>
  <si>
    <t>5)</t>
    <phoneticPr fontId="6" type="noConversion"/>
  </si>
  <si>
    <t>6)</t>
    <phoneticPr fontId="6" type="noConversion"/>
  </si>
  <si>
    <t>隔离膜长度近似根据阴极长度计算</t>
    <phoneticPr fontId="6" type="noConversion"/>
  </si>
  <si>
    <t>间歇涂布结构（单面阴极收尾）</t>
    <phoneticPr fontId="6" type="noConversion"/>
  </si>
  <si>
    <t>群裕度</t>
    <phoneticPr fontId="6" type="noConversion"/>
  </si>
  <si>
    <t>JR两侧需要为极片膨胀预留空间</t>
    <phoneticPr fontId="6" type="noConversion"/>
  </si>
  <si>
    <r>
      <rPr>
        <b/>
        <sz val="8"/>
        <rFont val="宋体"/>
        <family val="3"/>
        <charset val="134"/>
      </rPr>
      <t>设计逻辑：</t>
    </r>
    <r>
      <rPr>
        <b/>
        <sz val="8"/>
        <rFont val="Calibri"/>
        <family val="2"/>
      </rPr>
      <t>b</t>
    </r>
    <r>
      <rPr>
        <b/>
        <sz val="8"/>
        <rFont val="宋体"/>
        <family val="3"/>
        <charset val="134"/>
      </rPr>
      <t>＞</t>
    </r>
    <r>
      <rPr>
        <b/>
        <sz val="8"/>
        <rFont val="Calibri"/>
        <family val="2"/>
      </rPr>
      <t>= a/N</t>
    </r>
    <r>
      <rPr>
        <b/>
        <sz val="8"/>
        <rFont val="宋体"/>
        <family val="3"/>
        <charset val="134"/>
      </rPr>
      <t>计算时需考虑折弯处的</t>
    </r>
    <r>
      <rPr>
        <b/>
        <sz val="8"/>
        <rFont val="Calibri"/>
        <family val="2"/>
      </rPr>
      <t>gap</t>
    </r>
    <phoneticPr fontId="6" type="noConversion"/>
  </si>
  <si>
    <t>两层隔离膜空卷一圈半包住卷针（该部分计入卷针周长）</t>
    <phoneticPr fontId="6" type="noConversion"/>
  </si>
  <si>
    <r>
      <t xml:space="preserve">1. </t>
    </r>
    <r>
      <rPr>
        <sz val="10"/>
        <color theme="1"/>
        <rFont val="宋体"/>
        <family val="2"/>
      </rPr>
      <t>涂布</t>
    </r>
    <phoneticPr fontId="6" type="noConversion"/>
  </si>
  <si>
    <r>
      <rPr>
        <sz val="10"/>
        <rFont val="微软雅黑"/>
        <family val="2"/>
        <charset val="134"/>
      </rPr>
      <t>工序</t>
    </r>
    <phoneticPr fontId="5" type="noConversion"/>
  </si>
  <si>
    <r>
      <rPr>
        <sz val="10"/>
        <color theme="1"/>
        <rFont val="微软雅黑"/>
        <family val="2"/>
        <charset val="134"/>
      </rPr>
      <t>涂膜速度（</t>
    </r>
    <r>
      <rPr>
        <sz val="10"/>
        <color theme="1"/>
        <rFont val="Calibri"/>
        <family val="2"/>
      </rPr>
      <t>m/min</t>
    </r>
    <r>
      <rPr>
        <sz val="10"/>
        <color theme="1"/>
        <rFont val="微软雅黑"/>
        <family val="2"/>
        <charset val="134"/>
      </rPr>
      <t>）</t>
    </r>
    <phoneticPr fontId="5" type="noConversion"/>
  </si>
  <si>
    <r>
      <rPr>
        <sz val="10"/>
        <color theme="1"/>
        <rFont val="宋体"/>
        <family val="2"/>
      </rPr>
      <t>单面</t>
    </r>
    <r>
      <rPr>
        <sz val="10"/>
        <color theme="1"/>
        <rFont val="Calibri"/>
        <family val="2"/>
      </rPr>
      <t>Cpk</t>
    </r>
    <phoneticPr fontId="6" type="noConversion"/>
  </si>
  <si>
    <r>
      <rPr>
        <sz val="10"/>
        <color theme="1"/>
        <rFont val="微软雅黑"/>
        <family val="2"/>
        <charset val="134"/>
      </rPr>
      <t>单面</t>
    </r>
    <r>
      <rPr>
        <sz val="10"/>
        <color theme="1"/>
        <rFont val="Calibri"/>
        <family val="2"/>
      </rPr>
      <t>COV</t>
    </r>
    <phoneticPr fontId="6" type="noConversion"/>
  </si>
  <si>
    <r>
      <rPr>
        <sz val="10"/>
        <color theme="1"/>
        <rFont val="宋体"/>
        <family val="2"/>
      </rPr>
      <t>双面</t>
    </r>
    <r>
      <rPr>
        <sz val="10"/>
        <color theme="1"/>
        <rFont val="Calibri"/>
        <family val="2"/>
      </rPr>
      <t>Cpk</t>
    </r>
    <phoneticPr fontId="6" type="noConversion"/>
  </si>
  <si>
    <r>
      <rPr>
        <sz val="10"/>
        <rFont val="微软雅黑"/>
        <family val="2"/>
        <charset val="134"/>
      </rPr>
      <t>双面</t>
    </r>
    <r>
      <rPr>
        <sz val="10"/>
        <rFont val="Calibri"/>
        <family val="2"/>
      </rPr>
      <t>COV</t>
    </r>
    <phoneticPr fontId="6" type="noConversion"/>
  </si>
  <si>
    <r>
      <rPr>
        <sz val="10"/>
        <rFont val="微软雅黑"/>
        <family val="2"/>
        <charset val="134"/>
      </rPr>
      <t>头尾削薄能力</t>
    </r>
    <r>
      <rPr>
        <sz val="10"/>
        <rFont val="Calibri"/>
        <family val="2"/>
      </rPr>
      <t xml:space="preserve"> μm</t>
    </r>
    <phoneticPr fontId="6" type="noConversion"/>
  </si>
  <si>
    <r>
      <rPr>
        <sz val="10"/>
        <rFont val="微软雅黑"/>
        <family val="2"/>
        <charset val="134"/>
      </rPr>
      <t>边缘削薄能力</t>
    </r>
    <r>
      <rPr>
        <sz val="10"/>
        <rFont val="Calibri"/>
        <family val="2"/>
      </rPr>
      <t xml:space="preserve"> μm</t>
    </r>
    <phoneticPr fontId="6" type="noConversion"/>
  </si>
  <si>
    <r>
      <rPr>
        <sz val="10"/>
        <color theme="1"/>
        <rFont val="宋体"/>
        <family val="2"/>
      </rPr>
      <t>正反面对位精度</t>
    </r>
    <r>
      <rPr>
        <sz val="10"/>
        <color theme="1"/>
        <rFont val="Calibri"/>
        <family val="2"/>
      </rPr>
      <t>mm</t>
    </r>
    <phoneticPr fontId="6" type="noConversion"/>
  </si>
  <si>
    <r>
      <rPr>
        <sz val="10"/>
        <color theme="1"/>
        <rFont val="宋体"/>
        <family val="3"/>
        <charset val="134"/>
      </rPr>
      <t>单面间隙</t>
    </r>
    <phoneticPr fontId="6" type="noConversion"/>
  </si>
  <si>
    <r>
      <rPr>
        <sz val="10"/>
        <color theme="1"/>
        <rFont val="微软雅黑"/>
        <family val="2"/>
        <charset val="134"/>
      </rPr>
      <t>单面连续</t>
    </r>
    <phoneticPr fontId="6" type="noConversion"/>
  </si>
  <si>
    <r>
      <rPr>
        <sz val="10"/>
        <color theme="1"/>
        <rFont val="宋体"/>
        <family val="3"/>
        <charset val="134"/>
      </rPr>
      <t>双面间隙</t>
    </r>
    <phoneticPr fontId="6" type="noConversion"/>
  </si>
  <si>
    <r>
      <rPr>
        <sz val="10"/>
        <rFont val="微软雅黑"/>
        <family val="2"/>
        <charset val="134"/>
      </rPr>
      <t>双面连续</t>
    </r>
    <phoneticPr fontId="6" type="noConversion"/>
  </si>
  <si>
    <r>
      <rPr>
        <sz val="10"/>
        <color theme="1"/>
        <rFont val="微软雅黑"/>
        <family val="2"/>
        <charset val="134"/>
      </rPr>
      <t>阳极涂布</t>
    </r>
    <phoneticPr fontId="6" type="noConversion"/>
  </si>
  <si>
    <r>
      <rPr>
        <sz val="10"/>
        <rFont val="微软雅黑"/>
        <family val="2"/>
        <charset val="134"/>
      </rPr>
      <t>５</t>
    </r>
    <r>
      <rPr>
        <sz val="10"/>
        <rFont val="Calibri"/>
        <family val="2"/>
      </rPr>
      <t>~15</t>
    </r>
    <phoneticPr fontId="6" type="noConversion"/>
  </si>
  <si>
    <r>
      <t>COV</t>
    </r>
    <r>
      <rPr>
        <sz val="10"/>
        <rFont val="微软雅黑"/>
        <family val="2"/>
        <charset val="134"/>
      </rPr>
      <t>≤</t>
    </r>
    <r>
      <rPr>
        <sz val="10"/>
        <rFont val="Calibri"/>
        <family val="2"/>
      </rPr>
      <t>0.80%</t>
    </r>
    <phoneticPr fontId="6" type="noConversion"/>
  </si>
  <si>
    <r>
      <t>COV</t>
    </r>
    <r>
      <rPr>
        <sz val="10"/>
        <rFont val="微软雅黑"/>
        <family val="2"/>
        <charset val="134"/>
      </rPr>
      <t>≤</t>
    </r>
    <r>
      <rPr>
        <sz val="10"/>
        <rFont val="Calibri"/>
        <family val="2"/>
      </rPr>
      <t>0.60%</t>
    </r>
    <phoneticPr fontId="6" type="noConversion"/>
  </si>
  <si>
    <r>
      <t>COV</t>
    </r>
    <r>
      <rPr>
        <sz val="10"/>
        <rFont val="微软雅黑"/>
        <family val="2"/>
        <charset val="134"/>
      </rPr>
      <t>≤</t>
    </r>
    <r>
      <rPr>
        <sz val="10"/>
        <rFont val="Calibri"/>
        <family val="2"/>
      </rPr>
      <t>0.6%</t>
    </r>
    <phoneticPr fontId="6" type="noConversion"/>
  </si>
  <si>
    <r>
      <t>COV</t>
    </r>
    <r>
      <rPr>
        <sz val="10"/>
        <rFont val="微软雅黑"/>
        <family val="2"/>
        <charset val="134"/>
      </rPr>
      <t>≤</t>
    </r>
    <r>
      <rPr>
        <sz val="10"/>
        <rFont val="Calibri"/>
        <family val="2"/>
      </rPr>
      <t>0.4%</t>
    </r>
    <phoneticPr fontId="6" type="noConversion"/>
  </si>
  <si>
    <r>
      <rPr>
        <sz val="10"/>
        <color theme="1"/>
        <rFont val="微软雅黑"/>
        <family val="2"/>
        <charset val="134"/>
      </rPr>
      <t>（</t>
    </r>
    <r>
      <rPr>
        <sz val="10"/>
        <color theme="1"/>
        <rFont val="Calibri"/>
        <family val="2"/>
      </rPr>
      <t>-5</t>
    </r>
    <r>
      <rPr>
        <sz val="10"/>
        <color theme="1"/>
        <rFont val="微软雅黑"/>
        <family val="2"/>
        <charset val="134"/>
      </rPr>
      <t>，</t>
    </r>
    <r>
      <rPr>
        <sz val="10"/>
        <color theme="1"/>
        <rFont val="Calibri"/>
        <family val="2"/>
      </rPr>
      <t>10</t>
    </r>
    <r>
      <rPr>
        <sz val="10"/>
        <color theme="1"/>
        <rFont val="微软雅黑"/>
        <family val="2"/>
        <charset val="134"/>
      </rPr>
      <t>）</t>
    </r>
    <phoneticPr fontId="6" type="noConversion"/>
  </si>
  <si>
    <r>
      <t>Lp</t>
    </r>
    <r>
      <rPr>
        <sz val="10"/>
        <rFont val="微软雅黑"/>
        <family val="2"/>
        <charset val="134"/>
      </rPr>
      <t>＜</t>
    </r>
    <r>
      <rPr>
        <sz val="10"/>
        <rFont val="Calibri"/>
        <family val="2"/>
      </rPr>
      <t>14mm
Tn*93</t>
    </r>
    <r>
      <rPr>
        <sz val="10"/>
        <rFont val="微软雅黑"/>
        <family val="2"/>
        <charset val="134"/>
      </rPr>
      <t>％＜</t>
    </r>
    <r>
      <rPr>
        <sz val="10"/>
        <rFont val="Calibri"/>
        <family val="2"/>
      </rPr>
      <t>Tp</t>
    </r>
    <r>
      <rPr>
        <sz val="10"/>
        <rFont val="微软雅黑"/>
        <family val="2"/>
        <charset val="134"/>
      </rPr>
      <t>＜</t>
    </r>
    <r>
      <rPr>
        <sz val="10"/>
        <rFont val="Calibri"/>
        <family val="2"/>
      </rPr>
      <t>Tn100</t>
    </r>
    <r>
      <rPr>
        <sz val="10"/>
        <rFont val="微软雅黑"/>
        <family val="2"/>
        <charset val="134"/>
      </rPr>
      <t>％</t>
    </r>
    <phoneticPr fontId="6" type="noConversion"/>
  </si>
  <si>
    <r>
      <t>L</t>
    </r>
    <r>
      <rPr>
        <sz val="10"/>
        <rFont val="微软雅黑"/>
        <family val="2"/>
        <charset val="134"/>
      </rPr>
      <t>≤</t>
    </r>
    <r>
      <rPr>
        <sz val="10"/>
        <rFont val="Calibri"/>
        <family val="2"/>
      </rPr>
      <t>±1.5</t>
    </r>
    <r>
      <rPr>
        <sz val="10"/>
        <rFont val="微软雅黑"/>
        <family val="2"/>
        <charset val="134"/>
      </rPr>
      <t>、</t>
    </r>
    <r>
      <rPr>
        <sz val="10"/>
        <rFont val="Calibri"/>
        <family val="2"/>
      </rPr>
      <t>W</t>
    </r>
    <r>
      <rPr>
        <sz val="10"/>
        <rFont val="微软雅黑"/>
        <family val="2"/>
        <charset val="134"/>
      </rPr>
      <t>≤</t>
    </r>
    <r>
      <rPr>
        <sz val="10"/>
        <rFont val="Calibri"/>
        <family val="2"/>
      </rPr>
      <t>±0.5</t>
    </r>
    <phoneticPr fontId="6" type="noConversion"/>
  </si>
  <si>
    <r>
      <t>L</t>
    </r>
    <r>
      <rPr>
        <sz val="10"/>
        <rFont val="微软雅黑"/>
        <family val="2"/>
        <charset val="134"/>
      </rPr>
      <t>≤</t>
    </r>
    <r>
      <rPr>
        <sz val="10"/>
        <rFont val="Calibri"/>
        <family val="2"/>
      </rPr>
      <t>±1</t>
    </r>
    <r>
      <rPr>
        <sz val="10"/>
        <rFont val="微软雅黑"/>
        <family val="2"/>
        <charset val="134"/>
      </rPr>
      <t>、</t>
    </r>
    <r>
      <rPr>
        <sz val="10"/>
        <rFont val="Calibri"/>
        <family val="2"/>
      </rPr>
      <t>W</t>
    </r>
    <r>
      <rPr>
        <sz val="10"/>
        <rFont val="微软雅黑"/>
        <family val="2"/>
        <charset val="134"/>
      </rPr>
      <t>≤</t>
    </r>
    <r>
      <rPr>
        <sz val="10"/>
        <rFont val="Calibri"/>
        <family val="2"/>
      </rPr>
      <t>±0.5</t>
    </r>
    <phoneticPr fontId="6" type="noConversion"/>
  </si>
  <si>
    <r>
      <t xml:space="preserve">2. </t>
    </r>
    <r>
      <rPr>
        <sz val="10"/>
        <color theme="1"/>
        <rFont val="宋体"/>
        <family val="2"/>
      </rPr>
      <t>冷压</t>
    </r>
    <phoneticPr fontId="6" type="noConversion"/>
  </si>
  <si>
    <r>
      <rPr>
        <sz val="10"/>
        <rFont val="微软雅黑"/>
        <family val="2"/>
        <charset val="134"/>
      </rPr>
      <t>双面厚度一致性</t>
    </r>
    <r>
      <rPr>
        <sz val="10"/>
        <rFont val="Calibri"/>
        <family val="2"/>
      </rPr>
      <t>(mm)</t>
    </r>
    <phoneticPr fontId="6" type="noConversion"/>
  </si>
  <si>
    <r>
      <t xml:space="preserve">3. </t>
    </r>
    <r>
      <rPr>
        <sz val="10"/>
        <color theme="1"/>
        <rFont val="宋体"/>
        <family val="2"/>
      </rPr>
      <t>分条</t>
    </r>
    <phoneticPr fontId="6" type="noConversion"/>
  </si>
  <si>
    <r>
      <rPr>
        <sz val="10"/>
        <rFont val="微软雅黑"/>
        <family val="2"/>
        <charset val="134"/>
      </rPr>
      <t>分切宽度偏差（</t>
    </r>
    <r>
      <rPr>
        <sz val="10"/>
        <rFont val="Calibri"/>
        <family val="2"/>
      </rPr>
      <t>mm</t>
    </r>
    <r>
      <rPr>
        <sz val="10"/>
        <rFont val="微软雅黑"/>
        <family val="2"/>
        <charset val="134"/>
      </rPr>
      <t>）</t>
    </r>
    <phoneticPr fontId="6" type="noConversion"/>
  </si>
  <si>
    <r>
      <t xml:space="preserve">4. </t>
    </r>
    <r>
      <rPr>
        <sz val="10"/>
        <color theme="1"/>
        <rFont val="宋体"/>
        <family val="2"/>
      </rPr>
      <t>模切</t>
    </r>
    <r>
      <rPr>
        <sz val="10"/>
        <color theme="1"/>
        <rFont val="Calibri"/>
        <family val="2"/>
      </rPr>
      <t>-M6US</t>
    </r>
    <phoneticPr fontId="6" type="noConversion"/>
  </si>
  <si>
    <r>
      <rPr>
        <sz val="10"/>
        <rFont val="微软雅黑"/>
        <family val="2"/>
        <charset val="134"/>
      </rPr>
      <t>工序</t>
    </r>
    <phoneticPr fontId="5" type="noConversion"/>
  </si>
  <si>
    <r>
      <rPr>
        <sz val="10"/>
        <rFont val="微软雅黑"/>
        <family val="2"/>
        <charset val="134"/>
      </rPr>
      <t>极耳间距误差
（</t>
    </r>
    <r>
      <rPr>
        <sz val="10"/>
        <rFont val="Calibri"/>
        <family val="2"/>
      </rPr>
      <t>mm</t>
    </r>
    <r>
      <rPr>
        <sz val="10"/>
        <rFont val="微软雅黑"/>
        <family val="2"/>
        <charset val="134"/>
      </rPr>
      <t>）</t>
    </r>
    <phoneticPr fontId="5" type="noConversion"/>
  </si>
  <si>
    <r>
      <rPr>
        <sz val="10"/>
        <rFont val="微软雅黑"/>
        <family val="2"/>
        <charset val="134"/>
      </rPr>
      <t>长度误差
（</t>
    </r>
    <r>
      <rPr>
        <sz val="10"/>
        <rFont val="Calibri"/>
        <family val="2"/>
      </rPr>
      <t>mm</t>
    </r>
    <r>
      <rPr>
        <sz val="10"/>
        <rFont val="微软雅黑"/>
        <family val="2"/>
        <charset val="134"/>
      </rPr>
      <t>）</t>
    </r>
    <phoneticPr fontId="5" type="noConversion"/>
  </si>
  <si>
    <t>Shape Volume(mL)</t>
    <phoneticPr fontId="5" type="noConversion"/>
  </si>
  <si>
    <t>Volume(mL)</t>
    <phoneticPr fontId="5" type="noConversion"/>
  </si>
  <si>
    <t>True Volume(mL)</t>
    <phoneticPr fontId="5" type="noConversion"/>
  </si>
  <si>
    <t>Pore Volume(mL)</t>
    <phoneticPr fontId="5" type="noConversion"/>
  </si>
  <si>
    <t>Anode</t>
    <phoneticPr fontId="6" type="noConversion"/>
  </si>
  <si>
    <t>Cathode</t>
    <phoneticPr fontId="6" type="noConversion"/>
  </si>
  <si>
    <t>Separator</t>
  </si>
  <si>
    <t>CCS</t>
    <phoneticPr fontId="6" type="noConversion"/>
  </si>
  <si>
    <r>
      <t xml:space="preserve">PCS </t>
    </r>
    <r>
      <rPr>
        <sz val="12"/>
        <color theme="1"/>
        <rFont val="宋体"/>
        <family val="3"/>
        <charset val="134"/>
      </rPr>
      <t>（</t>
    </r>
    <r>
      <rPr>
        <sz val="12"/>
        <color theme="1"/>
        <rFont val="Calibri"/>
        <family val="2"/>
      </rPr>
      <t>JR</t>
    </r>
    <r>
      <rPr>
        <sz val="12"/>
        <color theme="1"/>
        <rFont val="宋体"/>
        <family val="3"/>
        <charset val="134"/>
      </rPr>
      <t>两侧）</t>
    </r>
    <phoneticPr fontId="6" type="noConversion"/>
  </si>
  <si>
    <t>Total</t>
    <phoneticPr fontId="6" type="noConversion"/>
  </si>
  <si>
    <r>
      <rPr>
        <b/>
        <sz val="11"/>
        <rFont val="宋体"/>
        <family val="3"/>
        <charset val="134"/>
      </rPr>
      <t>中间计算过程</t>
    </r>
    <r>
      <rPr>
        <b/>
        <sz val="11"/>
        <rFont val="Calibri"/>
        <family val="2"/>
      </rPr>
      <t xml:space="preserve"> ----- JR</t>
    </r>
    <r>
      <rPr>
        <b/>
        <sz val="11"/>
        <rFont val="宋体"/>
        <family val="3"/>
        <charset val="134"/>
      </rPr>
      <t>宽度尺寸</t>
    </r>
    <r>
      <rPr>
        <b/>
        <sz val="11"/>
        <rFont val="Calibri"/>
        <family val="2"/>
      </rPr>
      <t>(</t>
    </r>
    <r>
      <rPr>
        <b/>
        <sz val="11"/>
        <rFont val="宋体"/>
        <family val="3"/>
        <charset val="134"/>
      </rPr>
      <t>常规热压</t>
    </r>
    <r>
      <rPr>
        <b/>
        <sz val="11"/>
        <rFont val="Calibri"/>
        <family val="2"/>
      </rPr>
      <t>)</t>
    </r>
    <phoneticPr fontId="5" type="noConversion"/>
  </si>
  <si>
    <r>
      <rPr>
        <b/>
        <sz val="11"/>
        <rFont val="宋体"/>
        <family val="3"/>
        <charset val="134"/>
      </rPr>
      <t>中间计算过程</t>
    </r>
    <r>
      <rPr>
        <b/>
        <sz val="11"/>
        <rFont val="Calibri"/>
        <family val="2"/>
      </rPr>
      <t xml:space="preserve"> ----- JR</t>
    </r>
    <r>
      <rPr>
        <b/>
        <sz val="11"/>
        <rFont val="宋体"/>
        <family val="3"/>
        <charset val="134"/>
      </rPr>
      <t>宽度尺寸</t>
    </r>
    <r>
      <rPr>
        <b/>
        <sz val="11"/>
        <rFont val="Calibri"/>
        <family val="2"/>
      </rPr>
      <t>(</t>
    </r>
    <r>
      <rPr>
        <b/>
        <sz val="11"/>
        <rFont val="宋体"/>
        <family val="3"/>
        <charset val="134"/>
      </rPr>
      <t>方形热压</t>
    </r>
    <r>
      <rPr>
        <b/>
        <sz val="11"/>
        <rFont val="Calibri"/>
        <family val="2"/>
      </rPr>
      <t>)</t>
    </r>
    <phoneticPr fontId="5" type="noConversion"/>
  </si>
  <si>
    <r>
      <rPr>
        <sz val="10"/>
        <rFont val="Calibri"/>
        <family val="2"/>
      </rPr>
      <t>AT9</t>
    </r>
    <r>
      <rPr>
        <sz val="10"/>
        <rFont val="宋体"/>
        <family val="3"/>
        <charset val="134"/>
      </rPr>
      <t>超出隔离膜</t>
    </r>
    <phoneticPr fontId="5" type="noConversion"/>
  </si>
  <si>
    <t>mm</t>
    <phoneticPr fontId="5" type="noConversion"/>
  </si>
  <si>
    <r>
      <t>AT9</t>
    </r>
    <r>
      <rPr>
        <sz val="8"/>
        <rFont val="宋体"/>
        <family val="3"/>
        <charset val="134"/>
      </rPr>
      <t>超出隔膜</t>
    </r>
    <phoneticPr fontId="5" type="noConversion"/>
  </si>
  <si>
    <t>Formula</t>
    <phoneticPr fontId="5" type="noConversion"/>
  </si>
  <si>
    <t>loading</t>
    <phoneticPr fontId="6" type="noConversion"/>
  </si>
  <si>
    <t>卷绕反弹
(vs冷压)</t>
  </si>
  <si>
    <t>满充反弹
(vs冷压)</t>
  </si>
  <si>
    <t>EOL反弹
(vs冷压)</t>
  </si>
  <si>
    <t>长度延展
(冷压vs涂布)</t>
  </si>
  <si>
    <t>loading</t>
  </si>
  <si>
    <t>Density</t>
  </si>
  <si>
    <r>
      <t xml:space="preserve">Tab </t>
    </r>
    <r>
      <rPr>
        <sz val="8"/>
        <rFont val="宋体"/>
        <family val="3"/>
        <charset val="134"/>
      </rPr>
      <t>到卷芯最内圈边缘的距离</t>
    </r>
    <r>
      <rPr>
        <sz val="8"/>
        <rFont val="Calibri"/>
        <family val="2"/>
      </rPr>
      <t>La</t>
    </r>
    <phoneticPr fontId="5" type="noConversion"/>
  </si>
  <si>
    <r>
      <t xml:space="preserve">Tab </t>
    </r>
    <r>
      <rPr>
        <sz val="8"/>
        <rFont val="宋体"/>
        <family val="3"/>
        <charset val="134"/>
      </rPr>
      <t>到卷芯最内圈边缘的距离</t>
    </r>
    <r>
      <rPr>
        <sz val="8"/>
        <rFont val="Calibri"/>
        <family val="2"/>
      </rPr>
      <t>La</t>
    </r>
    <phoneticPr fontId="6" type="noConversion"/>
  </si>
  <si>
    <t>Model</t>
    <phoneticPr fontId="5" type="noConversion"/>
  </si>
  <si>
    <t>Mylar</t>
  </si>
  <si>
    <t>一般6步即可完成设计</t>
    <phoneticPr fontId="5" type="noConversion"/>
  </si>
  <si>
    <r>
      <rPr>
        <b/>
        <sz val="11"/>
        <rFont val="宋体"/>
        <family val="3"/>
        <charset val="134"/>
      </rPr>
      <t>中间计算过程</t>
    </r>
    <r>
      <rPr>
        <b/>
        <sz val="11"/>
        <rFont val="Calibri"/>
        <family val="2"/>
      </rPr>
      <t xml:space="preserve"> ----- JR</t>
    </r>
    <r>
      <rPr>
        <b/>
        <sz val="11"/>
        <rFont val="宋体"/>
        <family val="3"/>
        <charset val="134"/>
      </rPr>
      <t>厚度尺寸</t>
    </r>
    <phoneticPr fontId="5" type="noConversion"/>
  </si>
  <si>
    <t>Anode Material</t>
    <phoneticPr fontId="5" type="noConversion"/>
  </si>
  <si>
    <t>Cathode Material</t>
    <phoneticPr fontId="5" type="noConversion"/>
  </si>
  <si>
    <t>Item</t>
    <phoneticPr fontId="5" type="noConversion"/>
  </si>
  <si>
    <r>
      <t xml:space="preserve">Input ------- </t>
    </r>
    <r>
      <rPr>
        <b/>
        <sz val="11"/>
        <rFont val="宋体"/>
        <family val="3"/>
        <charset val="134"/>
      </rPr>
      <t>机械件级别</t>
    </r>
    <phoneticPr fontId="5" type="noConversion"/>
  </si>
  <si>
    <t>基材厚度</t>
    <phoneticPr fontId="6" type="noConversion"/>
  </si>
  <si>
    <t>一圈一个</t>
  </si>
  <si>
    <t>极片参数是否经过SE确认</t>
    <phoneticPr fontId="6" type="noConversion"/>
  </si>
  <si>
    <r>
      <rPr>
        <sz val="10"/>
        <rFont val="宋体"/>
        <family val="3"/>
        <charset val="134"/>
      </rPr>
      <t>是否经过</t>
    </r>
    <r>
      <rPr>
        <sz val="10"/>
        <rFont val="Calibri"/>
        <family val="2"/>
      </rPr>
      <t>SE</t>
    </r>
    <r>
      <rPr>
        <sz val="10"/>
        <rFont val="宋体"/>
        <family val="3"/>
        <charset val="134"/>
      </rPr>
      <t>确认</t>
    </r>
    <phoneticPr fontId="6" type="noConversion"/>
  </si>
  <si>
    <t>机械件输入</t>
    <phoneticPr fontId="6" type="noConversion"/>
  </si>
  <si>
    <t>尺寸参数输出</t>
    <phoneticPr fontId="6" type="noConversion"/>
  </si>
  <si>
    <t>Item</t>
    <phoneticPr fontId="6" type="noConversion"/>
  </si>
  <si>
    <t>L4</t>
    <phoneticPr fontId="6" type="noConversion"/>
  </si>
  <si>
    <t>Mean</t>
    <phoneticPr fontId="6" type="noConversion"/>
  </si>
  <si>
    <t>负极下塑胶内伸</t>
    <phoneticPr fontId="6" type="noConversion"/>
  </si>
  <si>
    <t>正极下塑胶内伸</t>
    <phoneticPr fontId="6" type="noConversion"/>
  </si>
  <si>
    <t>软连接距极柱边缘距离</t>
    <phoneticPr fontId="6" type="noConversion"/>
  </si>
  <si>
    <t>焊印宽</t>
    <phoneticPr fontId="6" type="noConversion"/>
  </si>
  <si>
    <t>焊印长</t>
    <phoneticPr fontId="6" type="noConversion"/>
  </si>
  <si>
    <t>极耳上宽</t>
    <phoneticPr fontId="6" type="noConversion"/>
  </si>
  <si>
    <t>极耳下宽</t>
    <phoneticPr fontId="6" type="noConversion"/>
  </si>
  <si>
    <t>极耳重叠区超出焊印宽(单侧)</t>
    <phoneticPr fontId="6" type="noConversion"/>
  </si>
  <si>
    <t>极耳错位计算</t>
    <phoneticPr fontId="6" type="noConversion"/>
  </si>
  <si>
    <t>极柱宽度</t>
    <phoneticPr fontId="6" type="noConversion"/>
  </si>
  <si>
    <t>正极下塑胶内伸</t>
    <phoneticPr fontId="6" type="noConversion"/>
  </si>
  <si>
    <t>负极下塑胶内伸</t>
    <phoneticPr fontId="6" type="noConversion"/>
  </si>
  <si>
    <r>
      <rPr>
        <sz val="9"/>
        <color theme="1"/>
        <rFont val="宋体"/>
        <family val="3"/>
        <charset val="134"/>
      </rPr>
      <t>软连接上宽</t>
    </r>
    <r>
      <rPr>
        <sz val="9"/>
        <color theme="1"/>
        <rFont val="Calibri"/>
        <family val="2"/>
      </rPr>
      <t>L1</t>
    </r>
    <phoneticPr fontId="6" type="noConversion"/>
  </si>
  <si>
    <r>
      <rPr>
        <sz val="9"/>
        <color theme="1"/>
        <rFont val="宋体"/>
        <family val="3"/>
        <charset val="134"/>
      </rPr>
      <t>软连接下宽</t>
    </r>
    <r>
      <rPr>
        <sz val="9"/>
        <color theme="1"/>
        <rFont val="Calibri"/>
        <family val="2"/>
      </rPr>
      <t>L2</t>
    </r>
    <phoneticPr fontId="6" type="noConversion"/>
  </si>
  <si>
    <t>极柱中心距</t>
    <phoneticPr fontId="6" type="noConversion"/>
  </si>
  <si>
    <r>
      <rPr>
        <sz val="9"/>
        <color theme="1"/>
        <rFont val="宋体"/>
        <family val="3"/>
        <charset val="134"/>
      </rPr>
      <t>软连接</t>
    </r>
    <r>
      <rPr>
        <sz val="9"/>
        <color theme="1"/>
        <rFont val="Calibri"/>
        <family val="2"/>
      </rPr>
      <t>L3</t>
    </r>
    <phoneticPr fontId="6" type="noConversion"/>
  </si>
  <si>
    <t>常规软连接</t>
    <phoneticPr fontId="6" type="noConversion"/>
  </si>
  <si>
    <t>连续面膜长
@卷绕</t>
  </si>
  <si>
    <t>间歇面膜长
@卷绕</t>
  </si>
  <si>
    <t>单面区长度
@卷绕</t>
  </si>
  <si>
    <t>上限</t>
    <phoneticPr fontId="6" type="noConversion"/>
  </si>
  <si>
    <t>下限</t>
    <phoneticPr fontId="6" type="noConversion"/>
  </si>
  <si>
    <t>首次充电CB</t>
    <phoneticPr fontId="6" type="noConversion"/>
  </si>
  <si>
    <t>放电CB</t>
    <phoneticPr fontId="6" type="noConversion"/>
  </si>
  <si>
    <t>最大值</t>
    <phoneticPr fontId="6" type="noConversion"/>
  </si>
  <si>
    <r>
      <rPr>
        <b/>
        <sz val="8"/>
        <rFont val="宋体"/>
        <family val="3"/>
        <charset val="134"/>
      </rPr>
      <t>阴极</t>
    </r>
    <phoneticPr fontId="6" type="noConversion"/>
  </si>
  <si>
    <r>
      <rPr>
        <sz val="8"/>
        <rFont val="宋体"/>
        <family val="3"/>
        <charset val="134"/>
      </rPr>
      <t xml:space="preserve">涂布公差
</t>
    </r>
    <r>
      <rPr>
        <sz val="8"/>
        <rFont val="Calibri"/>
        <family val="2"/>
      </rPr>
      <t>(g/1540mm2)</t>
    </r>
    <phoneticPr fontId="6" type="noConversion"/>
  </si>
  <si>
    <r>
      <rPr>
        <b/>
        <sz val="8"/>
        <rFont val="宋体"/>
        <family val="3"/>
        <charset val="134"/>
      </rPr>
      <t>阳极</t>
    </r>
    <phoneticPr fontId="6" type="noConversion"/>
  </si>
  <si>
    <t>下限</t>
    <phoneticPr fontId="6" type="noConversion"/>
  </si>
  <si>
    <t>上限</t>
    <phoneticPr fontId="6" type="noConversion"/>
  </si>
  <si>
    <t>最小值</t>
    <phoneticPr fontId="6" type="noConversion"/>
  </si>
  <si>
    <t>冷压公差(mm)</t>
    <phoneticPr fontId="6" type="noConversion"/>
  </si>
  <si>
    <r>
      <t>Density (g/cm</t>
    </r>
    <r>
      <rPr>
        <vertAlign val="superscript"/>
        <sz val="8"/>
        <rFont val="Calibri"/>
        <family val="2"/>
      </rPr>
      <t>3</t>
    </r>
    <r>
      <rPr>
        <sz val="8"/>
        <rFont val="Calibri"/>
        <family val="2"/>
      </rPr>
      <t>)</t>
    </r>
    <phoneticPr fontId="5" type="noConversion"/>
  </si>
  <si>
    <t>Density (g/cm3)</t>
    <phoneticPr fontId="6" type="noConversion"/>
  </si>
  <si>
    <r>
      <rPr>
        <sz val="8"/>
        <color theme="1"/>
        <rFont val="宋体"/>
        <family val="3"/>
        <charset val="134"/>
      </rPr>
      <t>单面</t>
    </r>
    <r>
      <rPr>
        <sz val="8"/>
        <color theme="1"/>
        <rFont val="Calibri"/>
        <family val="2"/>
      </rPr>
      <t>C.W.
(g/1540mm2)</t>
    </r>
    <phoneticPr fontId="6" type="noConversion"/>
  </si>
  <si>
    <t>Full cell
1C Disc cap.
(mAh/g)</t>
    <phoneticPr fontId="5" type="noConversion"/>
  </si>
  <si>
    <r>
      <rPr>
        <sz val="8"/>
        <rFont val="宋体"/>
        <family val="3"/>
        <charset val="134"/>
      </rPr>
      <t>阴极脱锂后的不可逆容量</t>
    </r>
    <r>
      <rPr>
        <sz val="8"/>
        <rFont val="Calibri"/>
        <family val="2"/>
      </rPr>
      <t>(mAh/1540.25mm2)</t>
    </r>
    <phoneticPr fontId="6" type="noConversion"/>
  </si>
  <si>
    <r>
      <rPr>
        <sz val="8"/>
        <rFont val="宋体"/>
        <family val="3"/>
        <charset val="134"/>
      </rPr>
      <t>参考值</t>
    </r>
    <r>
      <rPr>
        <sz val="8"/>
        <rFont val="Calibri"/>
        <family val="2"/>
      </rPr>
      <t>:0um(</t>
    </r>
    <r>
      <rPr>
        <sz val="8"/>
        <rFont val="宋体"/>
        <family val="3"/>
        <charset val="134"/>
      </rPr>
      <t>假设</t>
    </r>
    <r>
      <rPr>
        <sz val="8"/>
        <rFont val="Calibri"/>
        <family val="2"/>
      </rPr>
      <t>Gap</t>
    </r>
    <r>
      <rPr>
        <sz val="8"/>
        <rFont val="宋体"/>
        <family val="3"/>
        <charset val="134"/>
      </rPr>
      <t>全部压掉</t>
    </r>
    <r>
      <rPr>
        <sz val="8"/>
        <rFont val="Calibri"/>
        <family val="2"/>
      </rPr>
      <t>)</t>
    </r>
    <phoneticPr fontId="6" type="noConversion"/>
  </si>
  <si>
    <r>
      <rPr>
        <sz val="8"/>
        <rFont val="宋体"/>
        <family val="3"/>
        <charset val="134"/>
      </rPr>
      <t>参考值</t>
    </r>
    <r>
      <rPr>
        <sz val="8"/>
        <rFont val="Calibri"/>
        <family val="2"/>
      </rPr>
      <t>:20um</t>
    </r>
    <phoneticPr fontId="6" type="noConversion"/>
  </si>
  <si>
    <r>
      <rPr>
        <sz val="8"/>
        <rFont val="宋体"/>
        <family val="3"/>
        <charset val="134"/>
      </rPr>
      <t>阳极嵌锂后</t>
    </r>
    <r>
      <rPr>
        <sz val="8"/>
        <rFont val="宋体"/>
        <family val="3"/>
        <charset val="134"/>
      </rPr>
      <t>消耗的容量</t>
    </r>
    <r>
      <rPr>
        <sz val="8"/>
        <rFont val="Calibri"/>
        <family val="2"/>
      </rPr>
      <t>(mAh/1540.25mm2)</t>
    </r>
    <phoneticPr fontId="6" type="noConversion"/>
  </si>
  <si>
    <t>LFP:2.0V~3.75V</t>
    <phoneticPr fontId="6" type="noConversion"/>
  </si>
  <si>
    <r>
      <t>NCM</t>
    </r>
    <r>
      <rPr>
        <sz val="10"/>
        <color theme="1"/>
        <rFont val="宋体"/>
        <family val="3"/>
        <charset val="134"/>
      </rPr>
      <t>扣电测试流程：</t>
    </r>
    <r>
      <rPr>
        <sz val="10"/>
        <color theme="1"/>
        <rFont val="Calibri"/>
        <family val="2"/>
      </rPr>
      <t>0.1C CC to Vx(</t>
    </r>
    <r>
      <rPr>
        <sz val="10"/>
        <color theme="1"/>
        <rFont val="宋体"/>
        <family val="3"/>
        <charset val="134"/>
      </rPr>
      <t>上限电压</t>
    </r>
    <r>
      <rPr>
        <sz val="10"/>
        <color theme="1"/>
        <rFont val="Calibri"/>
        <family val="2"/>
      </rPr>
      <t>+0.05V)</t>
    </r>
    <r>
      <rPr>
        <sz val="10"/>
        <color theme="1"/>
        <rFont val="宋体"/>
        <family val="3"/>
        <charset val="134"/>
      </rPr>
      <t>；</t>
    </r>
    <r>
      <rPr>
        <sz val="10"/>
        <color theme="1"/>
        <rFont val="Calibri"/>
        <family val="2"/>
      </rPr>
      <t>Vx CV to 50uA</t>
    </r>
    <r>
      <rPr>
        <sz val="10"/>
        <color theme="1"/>
        <rFont val="宋体"/>
        <family val="3"/>
        <charset val="134"/>
      </rPr>
      <t>；</t>
    </r>
    <r>
      <rPr>
        <sz val="10"/>
        <color theme="1"/>
        <rFont val="Calibri"/>
        <family val="2"/>
      </rPr>
      <t>rest 5 min</t>
    </r>
    <r>
      <rPr>
        <sz val="10"/>
        <color theme="1"/>
        <rFont val="宋体"/>
        <family val="3"/>
        <charset val="134"/>
      </rPr>
      <t>；</t>
    </r>
    <r>
      <rPr>
        <sz val="10"/>
        <color theme="1"/>
        <rFont val="Calibri"/>
        <family val="2"/>
      </rPr>
      <t>0.1C DC to 2.8V(</t>
    </r>
    <r>
      <rPr>
        <sz val="10"/>
        <color theme="1"/>
        <rFont val="宋体"/>
        <family val="3"/>
        <charset val="134"/>
      </rPr>
      <t>下限电压</t>
    </r>
    <r>
      <rPr>
        <sz val="10"/>
        <color theme="1"/>
        <rFont val="Calibri"/>
        <family val="2"/>
      </rPr>
      <t>)</t>
    </r>
    <r>
      <rPr>
        <sz val="10"/>
        <color theme="1"/>
        <rFont val="宋体"/>
        <family val="3"/>
        <charset val="134"/>
      </rPr>
      <t>；</t>
    </r>
    <r>
      <rPr>
        <sz val="10"/>
        <color theme="1"/>
        <rFont val="Calibri"/>
        <family val="2"/>
      </rPr>
      <t>2 cycle</t>
    </r>
    <phoneticPr fontId="6" type="noConversion"/>
  </si>
  <si>
    <r>
      <t>Gr</t>
    </r>
    <r>
      <rPr>
        <sz val="10"/>
        <color theme="1"/>
        <rFont val="宋体"/>
        <family val="3"/>
        <charset val="134"/>
      </rPr>
      <t>扣电测试流程：</t>
    </r>
    <r>
      <rPr>
        <sz val="10"/>
        <color theme="1"/>
        <rFont val="Calibri"/>
        <family val="2"/>
      </rPr>
      <t>0.05C DC to 5mV</t>
    </r>
    <r>
      <rPr>
        <sz val="10"/>
        <color theme="1"/>
        <rFont val="宋体"/>
        <family val="3"/>
        <charset val="134"/>
      </rPr>
      <t>；</t>
    </r>
    <r>
      <rPr>
        <sz val="10"/>
        <color theme="1"/>
        <rFont val="Calibri"/>
        <family val="2"/>
      </rPr>
      <t>5mV DV to 50uA</t>
    </r>
    <r>
      <rPr>
        <sz val="10"/>
        <color theme="1"/>
        <rFont val="宋体"/>
        <family val="3"/>
        <charset val="134"/>
      </rPr>
      <t>；</t>
    </r>
    <r>
      <rPr>
        <sz val="10"/>
        <color theme="1"/>
        <rFont val="Calibri"/>
        <family val="2"/>
      </rPr>
      <t>rest 5 min</t>
    </r>
    <r>
      <rPr>
        <sz val="10"/>
        <color theme="1"/>
        <rFont val="宋体"/>
        <family val="3"/>
        <charset val="134"/>
      </rPr>
      <t>；</t>
    </r>
    <r>
      <rPr>
        <sz val="10"/>
        <color theme="1"/>
        <rFont val="Calibri"/>
        <family val="2"/>
      </rPr>
      <t>0.1C CC to 2.0V</t>
    </r>
    <r>
      <rPr>
        <sz val="10"/>
        <color theme="1"/>
        <rFont val="宋体"/>
        <family val="3"/>
        <charset val="134"/>
      </rPr>
      <t>；</t>
    </r>
    <r>
      <rPr>
        <sz val="10"/>
        <color theme="1"/>
        <rFont val="Calibri"/>
        <family val="2"/>
      </rPr>
      <t>2 cycle</t>
    </r>
    <phoneticPr fontId="6" type="noConversion"/>
  </si>
  <si>
    <r>
      <rPr>
        <sz val="8"/>
        <rFont val="宋体"/>
        <family val="3"/>
        <charset val="134"/>
      </rPr>
      <t>扣电</t>
    </r>
    <r>
      <rPr>
        <sz val="8"/>
        <rFont val="Calibri"/>
        <family val="2"/>
      </rPr>
      <t xml:space="preserve">1st 
</t>
    </r>
    <r>
      <rPr>
        <sz val="8"/>
        <rFont val="宋体"/>
        <family val="3"/>
        <charset val="134"/>
      </rPr>
      <t>去程</t>
    </r>
    <r>
      <rPr>
        <sz val="8"/>
        <rFont val="Calibri"/>
        <family val="2"/>
      </rPr>
      <t xml:space="preserve"> Cap.
(mAh/g)</t>
    </r>
    <phoneticPr fontId="5" type="noConversion"/>
  </si>
  <si>
    <r>
      <rPr>
        <sz val="8"/>
        <rFont val="宋体"/>
        <family val="3"/>
        <charset val="134"/>
      </rPr>
      <t>扣电</t>
    </r>
    <r>
      <rPr>
        <sz val="8"/>
        <rFont val="Calibri"/>
        <family val="2"/>
      </rPr>
      <t xml:space="preserve">1st 
</t>
    </r>
    <r>
      <rPr>
        <sz val="8"/>
        <rFont val="宋体"/>
        <family val="3"/>
        <charset val="134"/>
      </rPr>
      <t>回程</t>
    </r>
    <r>
      <rPr>
        <sz val="8"/>
        <rFont val="Calibri"/>
        <family val="2"/>
      </rPr>
      <t xml:space="preserve"> Cap.
(mAh/g)</t>
    </r>
    <phoneticPr fontId="5" type="noConversion"/>
  </si>
  <si>
    <r>
      <rPr>
        <b/>
        <sz val="8"/>
        <rFont val="宋体"/>
        <family val="3"/>
        <charset val="134"/>
      </rPr>
      <t>极限</t>
    </r>
    <r>
      <rPr>
        <b/>
        <sz val="8"/>
        <rFont val="Calibri"/>
        <family val="2"/>
      </rPr>
      <t>CB</t>
    </r>
    <phoneticPr fontId="6" type="noConversion"/>
  </si>
  <si>
    <r>
      <t>SOC</t>
    </r>
    <r>
      <rPr>
        <sz val="7"/>
        <rFont val="宋体"/>
        <family val="3"/>
        <charset val="134"/>
      </rPr>
      <t xml:space="preserve">偏移
</t>
    </r>
    <r>
      <rPr>
        <sz val="7"/>
        <rFont val="Calibri"/>
        <family val="2"/>
      </rPr>
      <t>(</t>
    </r>
    <r>
      <rPr>
        <sz val="7"/>
        <rFont val="宋体"/>
        <family val="3"/>
        <charset val="134"/>
      </rPr>
      <t>阴阳极不可逆容量不均衡，造成实际</t>
    </r>
    <r>
      <rPr>
        <sz val="7"/>
        <rFont val="Calibri"/>
        <family val="2"/>
      </rPr>
      <t>SOC</t>
    </r>
    <r>
      <rPr>
        <sz val="7"/>
        <rFont val="宋体"/>
        <family val="3"/>
        <charset val="134"/>
      </rPr>
      <t>偏移</t>
    </r>
    <r>
      <rPr>
        <sz val="7"/>
        <rFont val="Calibri"/>
        <family val="2"/>
      </rPr>
      <t>)</t>
    </r>
    <phoneticPr fontId="6" type="noConversion"/>
  </si>
  <si>
    <t>Model</t>
    <phoneticPr fontId="6" type="noConversion"/>
  </si>
  <si>
    <r>
      <rPr>
        <sz val="10"/>
        <color theme="1"/>
        <rFont val="宋体"/>
        <family val="3"/>
        <charset val="134"/>
      </rPr>
      <t>电芯厚度</t>
    </r>
    <r>
      <rPr>
        <sz val="10"/>
        <color theme="1"/>
        <rFont val="Calibri"/>
        <family val="2"/>
      </rPr>
      <t>(</t>
    </r>
    <r>
      <rPr>
        <sz val="10"/>
        <color theme="1"/>
        <rFont val="宋体"/>
        <family val="3"/>
        <charset val="134"/>
      </rPr>
      <t>不含蓝膜</t>
    </r>
    <r>
      <rPr>
        <sz val="10"/>
        <color theme="1"/>
        <rFont val="Calibri"/>
        <family val="2"/>
      </rPr>
      <t>)</t>
    </r>
    <phoneticPr fontId="6" type="noConversion"/>
  </si>
  <si>
    <r>
      <rPr>
        <sz val="10"/>
        <color theme="1"/>
        <rFont val="宋体"/>
        <family val="3"/>
        <charset val="134"/>
      </rPr>
      <t>电芯宽度</t>
    </r>
    <r>
      <rPr>
        <sz val="10"/>
        <color theme="1"/>
        <rFont val="Calibri"/>
        <family val="2"/>
      </rPr>
      <t>(</t>
    </r>
    <r>
      <rPr>
        <sz val="10"/>
        <color theme="1"/>
        <rFont val="宋体"/>
        <family val="3"/>
        <charset val="134"/>
      </rPr>
      <t>不含蓝膜</t>
    </r>
    <r>
      <rPr>
        <sz val="10"/>
        <color theme="1"/>
        <rFont val="Calibri"/>
        <family val="2"/>
      </rPr>
      <t>)</t>
    </r>
    <phoneticPr fontId="6" type="noConversion"/>
  </si>
  <si>
    <t>顶支架内宽</t>
    <phoneticPr fontId="5" type="noConversion"/>
  </si>
  <si>
    <t>极柱宽度</t>
  </si>
  <si>
    <t>极柱中心距</t>
  </si>
  <si>
    <t>极柱中心距</t>
    <phoneticPr fontId="5" type="noConversion"/>
  </si>
  <si>
    <t>正极下塑胶内伸</t>
  </si>
  <si>
    <t>正极下塑胶内伸</t>
    <phoneticPr fontId="5" type="noConversion"/>
  </si>
  <si>
    <t>负极下塑胶内伸</t>
  </si>
  <si>
    <t>软连接上宽L1</t>
    <phoneticPr fontId="5" type="noConversion"/>
  </si>
  <si>
    <t>软连接上宽</t>
    <phoneticPr fontId="5" type="noConversion"/>
  </si>
  <si>
    <t>软连接下宽L2</t>
    <phoneticPr fontId="5" type="noConversion"/>
  </si>
  <si>
    <t>软连接下宽</t>
  </si>
  <si>
    <t>软连接L3</t>
    <phoneticPr fontId="5" type="noConversion"/>
  </si>
  <si>
    <t>PN码</t>
  </si>
  <si>
    <t>重量/g</t>
  </si>
  <si>
    <t>机械件
重量＆体积</t>
    <phoneticPr fontId="5" type="noConversion"/>
  </si>
  <si>
    <t>底托盘厚</t>
    <phoneticPr fontId="5" type="noConversion"/>
  </si>
  <si>
    <r>
      <t>Mylar</t>
    </r>
    <r>
      <rPr>
        <sz val="8"/>
        <rFont val="宋体"/>
        <family val="3"/>
        <charset val="134"/>
      </rPr>
      <t>厚</t>
    </r>
    <phoneticPr fontId="5" type="noConversion"/>
  </si>
  <si>
    <r>
      <rPr>
        <sz val="10.5"/>
        <color theme="1"/>
        <rFont val="宋体"/>
        <family val="3"/>
        <charset val="134"/>
      </rPr>
      <t>设计表的分类根据极片组装形式分类，目前体系评估最常用的是</t>
    </r>
    <r>
      <rPr>
        <sz val="10.5"/>
        <color theme="1"/>
        <rFont val="Calibri"/>
        <family val="2"/>
      </rPr>
      <t>M6T</t>
    </r>
    <r>
      <rPr>
        <sz val="10.5"/>
        <color theme="1"/>
        <rFont val="宋体"/>
        <family val="3"/>
        <charset val="134"/>
      </rPr>
      <t>软包（</t>
    </r>
    <r>
      <rPr>
        <sz val="10.5"/>
        <color theme="1"/>
        <rFont val="Calibri"/>
        <family val="2"/>
      </rPr>
      <t>4060D0</t>
    </r>
    <r>
      <rPr>
        <sz val="10.5"/>
        <color theme="1"/>
        <rFont val="宋体"/>
        <family val="3"/>
        <charset val="134"/>
      </rPr>
      <t>）</t>
    </r>
    <r>
      <rPr>
        <sz val="10.5"/>
        <color theme="1"/>
        <rFont val="Calibri"/>
        <family val="2"/>
      </rPr>
      <t>model</t>
    </r>
    <r>
      <rPr>
        <sz val="10.5"/>
        <color theme="1"/>
        <rFont val="宋体"/>
        <family val="3"/>
        <charset val="134"/>
      </rPr>
      <t>，在实际应用产品中有</t>
    </r>
    <r>
      <rPr>
        <sz val="10.5"/>
        <color theme="1"/>
        <rFont val="Calibri"/>
        <family val="2"/>
      </rPr>
      <t>M6UP</t>
    </r>
    <r>
      <rPr>
        <sz val="10.5"/>
        <color theme="1"/>
        <rFont val="宋体"/>
        <family val="3"/>
        <charset val="134"/>
      </rPr>
      <t>卷绕硬壳、硬壳叠片、圆柱、叠片大软包等设计，本应用说明主要基于</t>
    </r>
    <r>
      <rPr>
        <sz val="10.5"/>
        <color theme="1"/>
        <rFont val="Calibri"/>
        <family val="2"/>
      </rPr>
      <t>M6UP</t>
    </r>
    <r>
      <rPr>
        <sz val="10.5"/>
        <color theme="1"/>
        <rFont val="宋体"/>
        <family val="3"/>
        <charset val="134"/>
      </rPr>
      <t>硬壳设计表为模版进行说明，设计表中的公式需要仔细查看相应的计算链接和逻辑；</t>
    </r>
    <phoneticPr fontId="6" type="noConversion"/>
  </si>
  <si>
    <r>
      <t>Max thickness/Max. Width / Max. Height</t>
    </r>
    <r>
      <rPr>
        <sz val="11"/>
        <color theme="1"/>
        <rFont val="宋体"/>
        <family val="3"/>
        <charset val="134"/>
      </rPr>
      <t>，指电芯的总厚度、宽度和高度，关于电芯的型号命名规则详见如下路径文档：</t>
    </r>
    <phoneticPr fontId="6" type="noConversion"/>
  </si>
  <si>
    <r>
      <t>Top sealing width</t>
    </r>
    <r>
      <rPr>
        <sz val="11"/>
        <color theme="1"/>
        <rFont val="宋体"/>
        <family val="3"/>
        <charset val="134"/>
      </rPr>
      <t>：顶封宽度，即电芯的总宽度</t>
    </r>
    <r>
      <rPr>
        <sz val="11"/>
        <color theme="1"/>
        <rFont val="Calibri"/>
        <family val="2"/>
      </rPr>
      <t>-</t>
    </r>
    <r>
      <rPr>
        <sz val="11"/>
        <color theme="1"/>
        <rFont val="宋体"/>
        <family val="3"/>
        <charset val="134"/>
      </rPr>
      <t>化学部分的宽度，在硬壳电芯中指的是铝壳的高度</t>
    </r>
    <r>
      <rPr>
        <sz val="11"/>
        <color theme="1"/>
        <rFont val="Calibri"/>
        <family val="2"/>
      </rPr>
      <t>-JR</t>
    </r>
    <r>
      <rPr>
        <sz val="11"/>
        <color theme="1"/>
        <rFont val="宋体"/>
        <family val="3"/>
        <charset val="134"/>
      </rPr>
      <t>的高度，</t>
    </r>
    <r>
      <rPr>
        <sz val="11"/>
        <color theme="1"/>
        <rFont val="宋体"/>
        <family val="3"/>
        <charset val="134"/>
      </rPr>
      <t>包含盖板的厚度，支架高度，铝壳底部的厚度，底托板的厚度，</t>
    </r>
    <r>
      <rPr>
        <sz val="11"/>
        <color theme="1"/>
        <rFont val="Calibri"/>
        <family val="2"/>
      </rPr>
      <t>mylar</t>
    </r>
    <r>
      <rPr>
        <sz val="11"/>
        <color theme="1"/>
        <rFont val="宋体"/>
        <family val="3"/>
        <charset val="134"/>
      </rPr>
      <t>的厚度之和；</t>
    </r>
    <phoneticPr fontId="6" type="noConversion"/>
  </si>
  <si>
    <r>
      <t>Anode overhang</t>
    </r>
    <r>
      <rPr>
        <sz val="11"/>
        <color theme="1"/>
        <rFont val="宋体"/>
        <family val="3"/>
        <charset val="134"/>
      </rPr>
      <t>：阳极膜宽</t>
    </r>
    <r>
      <rPr>
        <sz val="11"/>
        <color theme="1"/>
        <rFont val="Calibri"/>
        <family val="2"/>
      </rPr>
      <t>-</t>
    </r>
    <r>
      <rPr>
        <sz val="11"/>
        <color theme="1"/>
        <rFont val="宋体"/>
        <family val="3"/>
        <charset val="134"/>
      </rPr>
      <t>阴极活性物质膜宽，为了保证不析锂，阳极在宽度方向上要比阴极宽，考虑到工序能力，目前</t>
    </r>
    <r>
      <rPr>
        <sz val="11"/>
        <color theme="1"/>
        <rFont val="Calibri"/>
        <family val="2"/>
      </rPr>
      <t>EV</t>
    </r>
    <r>
      <rPr>
        <sz val="11"/>
        <color theme="1"/>
        <rFont val="宋体"/>
        <family val="3"/>
        <charset val="134"/>
      </rPr>
      <t>卷绕工艺控制为</t>
    </r>
    <r>
      <rPr>
        <sz val="11"/>
        <color theme="1"/>
        <rFont val="Calibri"/>
        <family val="2"/>
      </rPr>
      <t>~3mm</t>
    </r>
    <r>
      <rPr>
        <sz val="11"/>
        <color theme="1"/>
        <rFont val="宋体"/>
        <family val="3"/>
        <charset val="134"/>
      </rPr>
      <t>（双边和）；</t>
    </r>
    <phoneticPr fontId="6" type="noConversion"/>
  </si>
  <si>
    <r>
      <t xml:space="preserve"> Separator overhang</t>
    </r>
    <r>
      <rPr>
        <sz val="11"/>
        <color theme="1"/>
        <rFont val="宋体"/>
        <family val="3"/>
        <charset val="134"/>
      </rPr>
      <t>：隔离膜宽度</t>
    </r>
    <r>
      <rPr>
        <sz val="11"/>
        <color theme="1"/>
        <rFont val="Calibri"/>
        <family val="2"/>
      </rPr>
      <t>-</t>
    </r>
    <r>
      <rPr>
        <sz val="11"/>
        <color theme="1"/>
        <rFont val="宋体"/>
        <family val="3"/>
        <charset val="134"/>
      </rPr>
      <t>阳极膜片宽，为了防止短路，隔离膜需要包住整个阴极和阳极，目前</t>
    </r>
    <r>
      <rPr>
        <sz val="11"/>
        <color theme="1"/>
        <rFont val="Calibri"/>
        <family val="2"/>
      </rPr>
      <t>EV</t>
    </r>
    <r>
      <rPr>
        <sz val="11"/>
        <color theme="1"/>
        <rFont val="宋体"/>
        <family val="3"/>
        <charset val="134"/>
      </rPr>
      <t>卷绕工艺控制为</t>
    </r>
    <r>
      <rPr>
        <sz val="11"/>
        <color theme="1"/>
        <rFont val="Calibri"/>
        <family val="2"/>
      </rPr>
      <t>~5mm</t>
    </r>
    <r>
      <rPr>
        <sz val="11"/>
        <color theme="1"/>
        <rFont val="宋体"/>
        <family val="3"/>
        <charset val="134"/>
      </rPr>
      <t>（双边和）；</t>
    </r>
    <phoneticPr fontId="6" type="noConversion"/>
  </si>
  <si>
    <r>
      <t>Length Overhang</t>
    </r>
    <r>
      <rPr>
        <sz val="11"/>
        <color theme="1"/>
        <rFont val="宋体"/>
        <family val="3"/>
        <charset val="134"/>
      </rPr>
      <t>：阳极长度方向上比阴极长的部分，一般单侧</t>
    </r>
    <r>
      <rPr>
        <sz val="11"/>
        <color theme="1"/>
        <rFont val="Calibri"/>
        <family val="2"/>
      </rPr>
      <t>&gt;5mm</t>
    </r>
    <r>
      <rPr>
        <sz val="11"/>
        <color theme="1"/>
        <rFont val="宋体"/>
        <family val="3"/>
        <charset val="134"/>
      </rPr>
      <t>；</t>
    </r>
    <phoneticPr fontId="6" type="noConversion"/>
  </si>
  <si>
    <r>
      <t>Jelly roll</t>
    </r>
    <r>
      <rPr>
        <sz val="11"/>
        <color theme="1"/>
        <rFont val="宋体"/>
        <family val="3"/>
        <charset val="134"/>
      </rPr>
      <t>：卷绕好的裸电芯，一般电芯在比较薄、层数比较少以及</t>
    </r>
    <r>
      <rPr>
        <sz val="11"/>
        <color theme="1"/>
        <rFont val="Calibri"/>
        <family val="2"/>
      </rPr>
      <t>M6T</t>
    </r>
    <r>
      <rPr>
        <sz val="11"/>
        <color theme="1"/>
        <rFont val="宋体"/>
        <family val="3"/>
        <charset val="134"/>
      </rPr>
      <t>、叠片等结构的电芯会采用</t>
    </r>
    <r>
      <rPr>
        <sz val="11"/>
        <color theme="1"/>
        <rFont val="Calibri"/>
        <family val="2"/>
      </rPr>
      <t>1</t>
    </r>
    <r>
      <rPr>
        <sz val="11"/>
        <color theme="1"/>
        <rFont val="宋体"/>
        <family val="3"/>
        <charset val="134"/>
      </rPr>
      <t>个</t>
    </r>
    <r>
      <rPr>
        <sz val="11"/>
        <color theme="1"/>
        <rFont val="Calibri"/>
        <family val="2"/>
      </rPr>
      <t>JR</t>
    </r>
    <r>
      <rPr>
        <sz val="11"/>
        <color theme="1"/>
        <rFont val="宋体"/>
        <family val="3"/>
        <charset val="134"/>
      </rPr>
      <t>设计；电芯厚，卷绕层数比较多，越容易造成错位的</t>
    </r>
    <r>
      <rPr>
        <sz val="11"/>
        <color theme="1"/>
        <rFont val="Calibri"/>
        <family val="2"/>
      </rPr>
      <t>JR</t>
    </r>
    <r>
      <rPr>
        <sz val="11"/>
        <color theme="1"/>
        <rFont val="宋体"/>
        <family val="3"/>
        <charset val="134"/>
      </rPr>
      <t>数增加，目前</t>
    </r>
    <r>
      <rPr>
        <sz val="11"/>
        <color theme="1"/>
        <rFont val="Calibri"/>
        <family val="2"/>
      </rPr>
      <t>EV</t>
    </r>
    <r>
      <rPr>
        <sz val="11"/>
        <color theme="1"/>
        <rFont val="宋体"/>
        <family val="3"/>
        <charset val="134"/>
      </rPr>
      <t>一般采用</t>
    </r>
    <r>
      <rPr>
        <sz val="11"/>
        <color theme="1"/>
        <rFont val="Calibri"/>
        <family val="2"/>
      </rPr>
      <t>2</t>
    </r>
    <r>
      <rPr>
        <sz val="11"/>
        <color theme="1"/>
        <rFont val="宋体"/>
        <family val="3"/>
        <charset val="134"/>
      </rPr>
      <t>个</t>
    </r>
    <r>
      <rPr>
        <sz val="11"/>
        <color theme="1"/>
        <rFont val="Calibri"/>
        <family val="2"/>
      </rPr>
      <t>JR</t>
    </r>
    <r>
      <rPr>
        <sz val="11"/>
        <color theme="1"/>
        <rFont val="宋体"/>
        <family val="3"/>
        <charset val="134"/>
      </rPr>
      <t>设计</t>
    </r>
    <r>
      <rPr>
        <sz val="11"/>
        <color theme="1"/>
        <rFont val="宋体"/>
        <family val="3"/>
        <charset val="134"/>
      </rPr>
      <t>；</t>
    </r>
    <phoneticPr fontId="6" type="noConversion"/>
  </si>
  <si>
    <r>
      <t xml:space="preserve"> Electrode/ Anode/ Cathode</t>
    </r>
    <r>
      <rPr>
        <sz val="11"/>
        <color theme="1"/>
        <rFont val="宋体"/>
        <family val="3"/>
        <charset val="134"/>
      </rPr>
      <t>：电极</t>
    </r>
    <r>
      <rPr>
        <sz val="11"/>
        <color theme="1"/>
        <rFont val="Calibri"/>
        <family val="2"/>
      </rPr>
      <t>/</t>
    </r>
    <r>
      <rPr>
        <sz val="11"/>
        <color theme="1"/>
        <rFont val="宋体"/>
        <family val="3"/>
        <charset val="134"/>
      </rPr>
      <t>阳极</t>
    </r>
    <r>
      <rPr>
        <sz val="11"/>
        <color theme="1"/>
        <rFont val="Calibri"/>
        <family val="2"/>
      </rPr>
      <t>/</t>
    </r>
    <r>
      <rPr>
        <sz val="11"/>
        <color theme="1"/>
        <rFont val="宋体"/>
        <family val="3"/>
        <charset val="134"/>
      </rPr>
      <t>阴极，也称为负极</t>
    </r>
    <r>
      <rPr>
        <sz val="11"/>
        <color theme="1"/>
        <rFont val="Calibri"/>
        <family val="2"/>
      </rPr>
      <t>/</t>
    </r>
    <r>
      <rPr>
        <sz val="11"/>
        <color theme="1"/>
        <rFont val="宋体"/>
        <family val="3"/>
        <charset val="134"/>
      </rPr>
      <t>正极，</t>
    </r>
    <r>
      <rPr>
        <sz val="11"/>
        <color theme="1"/>
        <rFont val="Calibri"/>
        <family val="2"/>
      </rPr>
      <t>CATL</t>
    </r>
    <r>
      <rPr>
        <sz val="11"/>
        <color theme="1"/>
        <rFont val="宋体"/>
        <family val="3"/>
        <charset val="134"/>
      </rPr>
      <t>内部一般习惯阳极</t>
    </r>
    <r>
      <rPr>
        <sz val="11"/>
        <color theme="1"/>
        <rFont val="Calibri"/>
        <family val="2"/>
      </rPr>
      <t>/</t>
    </r>
    <r>
      <rPr>
        <sz val="11"/>
        <color theme="1"/>
        <rFont val="宋体"/>
        <family val="3"/>
        <charset val="134"/>
      </rPr>
      <t>阴极；</t>
    </r>
    <phoneticPr fontId="6" type="noConversion"/>
  </si>
  <si>
    <r>
      <t>Active P/N</t>
    </r>
    <r>
      <rPr>
        <sz val="11"/>
        <color theme="1"/>
        <rFont val="宋体"/>
        <family val="3"/>
        <charset val="134"/>
      </rPr>
      <t>：活性物质的代码</t>
    </r>
    <r>
      <rPr>
        <sz val="11"/>
        <color theme="1"/>
        <rFont val="宋体"/>
        <family val="3"/>
        <charset val="134"/>
      </rPr>
      <t>；</t>
    </r>
    <phoneticPr fontId="6" type="noConversion"/>
  </si>
  <si>
    <r>
      <t>Capacity (mAh/g)</t>
    </r>
    <r>
      <rPr>
        <sz val="11"/>
        <color theme="1"/>
        <rFont val="宋体"/>
        <family val="3"/>
        <charset val="134"/>
      </rPr>
      <t>：克容量，</t>
    </r>
    <r>
      <rPr>
        <sz val="11"/>
        <color theme="1"/>
        <rFont val="Calibri"/>
        <family val="2"/>
      </rPr>
      <t>LFP</t>
    </r>
    <r>
      <rPr>
        <sz val="11"/>
        <color theme="1"/>
        <rFont val="宋体"/>
        <family val="3"/>
        <charset val="134"/>
      </rPr>
      <t>阴极一般为</t>
    </r>
    <r>
      <rPr>
        <sz val="11"/>
        <color theme="1"/>
        <rFont val="Calibri"/>
        <family val="2"/>
      </rPr>
      <t>130~145mAh/g</t>
    </r>
    <r>
      <rPr>
        <sz val="11"/>
        <color theme="1"/>
        <rFont val="宋体"/>
        <family val="3"/>
        <charset val="134"/>
      </rPr>
      <t>（克容量发挥，跟阳极石墨材料的效率有关），</t>
    </r>
    <r>
      <rPr>
        <sz val="11"/>
        <color theme="1"/>
        <rFont val="Calibri"/>
        <family val="2"/>
      </rPr>
      <t>NCM</t>
    </r>
    <r>
      <rPr>
        <sz val="11"/>
        <color theme="1"/>
        <rFont val="宋体"/>
        <family val="3"/>
        <charset val="134"/>
      </rPr>
      <t>一般为</t>
    </r>
    <r>
      <rPr>
        <sz val="11"/>
        <color theme="1"/>
        <rFont val="Calibri"/>
        <family val="2"/>
      </rPr>
      <t>130~200</t>
    </r>
    <r>
      <rPr>
        <sz val="11"/>
        <color theme="1"/>
        <rFont val="宋体"/>
        <family val="3"/>
        <charset val="134"/>
      </rPr>
      <t>之间，</t>
    </r>
    <r>
      <rPr>
        <sz val="11"/>
        <color theme="1"/>
        <rFont val="Calibri"/>
        <family val="2"/>
      </rPr>
      <t>Ni</t>
    </r>
    <r>
      <rPr>
        <sz val="11"/>
        <color theme="1"/>
        <rFont val="宋体"/>
        <family val="3"/>
        <charset val="134"/>
      </rPr>
      <t>含量越高，全电池设计的电压越高，这个值越大，阳极石墨一般为</t>
    </r>
    <r>
      <rPr>
        <sz val="11"/>
        <color theme="1"/>
        <rFont val="Calibri"/>
        <family val="2"/>
      </rPr>
      <t>300~360</t>
    </r>
    <r>
      <rPr>
        <sz val="11"/>
        <color theme="1"/>
        <rFont val="宋体"/>
        <family val="3"/>
        <charset val="134"/>
      </rPr>
      <t>之间；</t>
    </r>
    <phoneticPr fontId="6" type="noConversion"/>
  </si>
  <si>
    <r>
      <t>Loading</t>
    </r>
    <r>
      <rPr>
        <sz val="11"/>
        <color theme="1"/>
        <rFont val="宋体"/>
        <family val="3"/>
        <charset val="134"/>
      </rPr>
      <t>：在阴阳极膜片中活性物质所占的质量比，除了活性物质外，还需要有粘接剂</t>
    </r>
    <r>
      <rPr>
        <sz val="11"/>
        <color theme="1"/>
        <rFont val="Calibri"/>
        <family val="2"/>
      </rPr>
      <t>binder</t>
    </r>
    <r>
      <rPr>
        <sz val="11"/>
        <color theme="1"/>
        <rFont val="宋体"/>
        <family val="3"/>
        <charset val="134"/>
      </rPr>
      <t>和导电剂</t>
    </r>
    <r>
      <rPr>
        <sz val="11"/>
        <color theme="1"/>
        <rFont val="Calibri"/>
        <family val="2"/>
      </rPr>
      <t>Conductive</t>
    </r>
    <r>
      <rPr>
        <sz val="11"/>
        <color theme="1"/>
        <rFont val="宋体"/>
        <family val="3"/>
        <charset val="134"/>
      </rPr>
      <t>，阳极粘接一般为丁苯橡胶，聚丙烯酸酯等，阴极粘接剂一般是</t>
    </r>
    <r>
      <rPr>
        <sz val="11"/>
        <color theme="1"/>
        <rFont val="Calibri"/>
        <family val="2"/>
      </rPr>
      <t>PVDF</t>
    </r>
    <r>
      <rPr>
        <sz val="11"/>
        <color theme="1"/>
        <rFont val="宋体"/>
        <family val="3"/>
        <charset val="134"/>
      </rPr>
      <t>（聚偏二氟乙烯），最常用的导电剂是导电炭黑</t>
    </r>
    <r>
      <rPr>
        <sz val="11"/>
        <color theme="1"/>
        <rFont val="Calibri"/>
        <family val="2"/>
      </rPr>
      <t>Super P</t>
    </r>
    <r>
      <rPr>
        <sz val="11"/>
        <color theme="1"/>
        <rFont val="宋体"/>
        <family val="3"/>
        <charset val="134"/>
      </rPr>
      <t>，另外还有</t>
    </r>
    <r>
      <rPr>
        <sz val="11"/>
        <color theme="1"/>
        <rFont val="Calibri"/>
        <family val="2"/>
      </rPr>
      <t>CNT</t>
    </r>
    <r>
      <rPr>
        <sz val="11"/>
        <color theme="1"/>
        <rFont val="宋体"/>
        <family val="3"/>
        <charset val="134"/>
      </rPr>
      <t>碳纳米管，</t>
    </r>
    <r>
      <rPr>
        <sz val="11"/>
        <color theme="1"/>
        <rFont val="Calibri"/>
        <family val="2"/>
      </rPr>
      <t>KS-6</t>
    </r>
    <r>
      <rPr>
        <sz val="11"/>
        <color theme="1"/>
        <rFont val="宋体"/>
        <family val="3"/>
        <charset val="134"/>
      </rPr>
      <t>等，一般阴阳极</t>
    </r>
    <r>
      <rPr>
        <sz val="11"/>
        <color theme="1"/>
        <rFont val="Calibri"/>
        <family val="2"/>
      </rPr>
      <t>loading</t>
    </r>
    <r>
      <rPr>
        <sz val="11"/>
        <color theme="1"/>
        <rFont val="宋体"/>
        <family val="3"/>
        <charset val="134"/>
      </rPr>
      <t>在</t>
    </r>
    <r>
      <rPr>
        <sz val="11"/>
        <color theme="1"/>
        <rFont val="Calibri"/>
        <family val="2"/>
      </rPr>
      <t>94%~97%</t>
    </r>
    <r>
      <rPr>
        <sz val="11"/>
        <color theme="1"/>
        <rFont val="宋体"/>
        <family val="3"/>
        <charset val="134"/>
      </rPr>
      <t>之间；</t>
    </r>
    <phoneticPr fontId="6" type="noConversion"/>
  </si>
  <si>
    <r>
      <t>Coating Weight (g/1540mm^2)</t>
    </r>
    <r>
      <rPr>
        <sz val="11"/>
        <color theme="1"/>
        <rFont val="宋体"/>
        <family val="3"/>
        <charset val="134"/>
      </rPr>
      <t>：涂布重量，即每</t>
    </r>
    <r>
      <rPr>
        <sz val="11"/>
        <color theme="1"/>
        <rFont val="Calibri"/>
        <family val="2"/>
      </rPr>
      <t>1540.25mm^2</t>
    </r>
    <r>
      <rPr>
        <sz val="11"/>
        <color theme="1"/>
        <rFont val="宋体"/>
        <family val="3"/>
        <charset val="134"/>
      </rPr>
      <t>面积膜片的重量（不包含基材），其他公司一般用</t>
    </r>
    <r>
      <rPr>
        <sz val="11"/>
        <color theme="1"/>
        <rFont val="Calibri"/>
        <family val="2"/>
      </rPr>
      <t>g/m^2</t>
    </r>
    <r>
      <rPr>
        <sz val="11"/>
        <color theme="1"/>
        <rFont val="宋体"/>
        <family val="3"/>
        <charset val="134"/>
      </rPr>
      <t>表示，</t>
    </r>
    <r>
      <rPr>
        <sz val="11"/>
        <color theme="1"/>
        <rFont val="Calibri"/>
        <family val="2"/>
      </rPr>
      <t>CATL</t>
    </r>
    <r>
      <rPr>
        <sz val="11"/>
        <color theme="1"/>
        <rFont val="宋体"/>
        <family val="3"/>
        <charset val="134"/>
      </rPr>
      <t>实际生产过程中采用冲</t>
    </r>
    <r>
      <rPr>
        <sz val="11"/>
        <color theme="1"/>
        <rFont val="Calibri"/>
        <family val="2"/>
      </rPr>
      <t>1540mm^2</t>
    </r>
    <r>
      <rPr>
        <sz val="11"/>
        <color theme="1"/>
        <rFont val="宋体"/>
        <family val="3"/>
        <charset val="134"/>
      </rPr>
      <t>面积的小圆片称重进行监控，因此涂布重量的单位为</t>
    </r>
    <r>
      <rPr>
        <sz val="11"/>
        <color theme="1"/>
        <rFont val="Calibri"/>
        <family val="2"/>
      </rPr>
      <t>g/1540mm^2</t>
    </r>
    <r>
      <rPr>
        <sz val="11"/>
        <color theme="1"/>
        <rFont val="宋体"/>
        <family val="3"/>
        <charset val="134"/>
      </rPr>
      <t>；</t>
    </r>
    <r>
      <rPr>
        <sz val="11"/>
        <color theme="1"/>
        <rFont val="Calibri"/>
        <family val="2"/>
      </rPr>
      <t>EV</t>
    </r>
    <r>
      <rPr>
        <sz val="11"/>
        <color theme="1"/>
        <rFont val="宋体"/>
        <family val="3"/>
        <charset val="134"/>
      </rPr>
      <t>阴极的涂布重量一般为</t>
    </r>
    <r>
      <rPr>
        <sz val="11"/>
        <color theme="1"/>
        <rFont val="Calibri"/>
        <family val="2"/>
      </rPr>
      <t>0.130~0.300</t>
    </r>
    <r>
      <rPr>
        <sz val="11"/>
        <color theme="1"/>
        <rFont val="宋体"/>
        <family val="3"/>
        <charset val="134"/>
      </rPr>
      <t>范围，阳极涂布重量根据阴极涂布重量、</t>
    </r>
    <r>
      <rPr>
        <sz val="11"/>
        <color theme="1"/>
        <rFont val="Calibri"/>
        <family val="2"/>
      </rPr>
      <t>CB</t>
    </r>
    <r>
      <rPr>
        <sz val="11"/>
        <color theme="1"/>
        <rFont val="宋体"/>
        <family val="3"/>
        <charset val="134"/>
      </rPr>
      <t>、阴阳极的</t>
    </r>
    <r>
      <rPr>
        <sz val="11"/>
        <color theme="1"/>
        <rFont val="Calibri"/>
        <family val="2"/>
      </rPr>
      <t>loading</t>
    </r>
    <r>
      <rPr>
        <sz val="11"/>
        <color theme="1"/>
        <rFont val="宋体"/>
        <family val="3"/>
        <charset val="134"/>
      </rPr>
      <t>等计算（具体请查看该单元格的计算公式），涂布重量越大，在壳体空间固定的条件下层数越少，相应</t>
    </r>
    <r>
      <rPr>
        <sz val="11"/>
        <color theme="1"/>
        <rFont val="Calibri"/>
        <family val="2"/>
      </rPr>
      <t>Cu/Al</t>
    </r>
    <r>
      <rPr>
        <sz val="11"/>
        <color theme="1"/>
        <rFont val="宋体"/>
        <family val="3"/>
        <charset val="134"/>
      </rPr>
      <t>箔、隔离膜基材等非活性物质的层数也相应越少，占的比重越小，有利于提高能量密度；</t>
    </r>
    <r>
      <rPr>
        <sz val="11"/>
        <color theme="1"/>
        <rFont val="Calibri"/>
        <family val="2"/>
      </rPr>
      <t>HEV</t>
    </r>
    <r>
      <rPr>
        <sz val="11"/>
        <color theme="1"/>
        <rFont val="宋体"/>
        <family val="3"/>
        <charset val="134"/>
      </rPr>
      <t>为追求高功率，一般涂布重量会比较轻，减小锂离子扩散和电子传导路径以减小电阻；</t>
    </r>
    <phoneticPr fontId="6" type="noConversion"/>
  </si>
  <si>
    <r>
      <t>Single layer thickness</t>
    </r>
    <r>
      <rPr>
        <sz val="11"/>
        <color theme="1"/>
        <rFont val="宋体"/>
        <family val="3"/>
        <charset val="134"/>
      </rPr>
      <t>：单面膜片厚度（不包括基材），根据涂布重量</t>
    </r>
    <r>
      <rPr>
        <sz val="11"/>
        <color theme="1"/>
        <rFont val="Calibri"/>
        <family val="2"/>
      </rPr>
      <t>/</t>
    </r>
    <r>
      <rPr>
        <sz val="11"/>
        <color theme="1"/>
        <rFont val="宋体"/>
        <family val="3"/>
        <charset val="134"/>
      </rPr>
      <t>压实密度计算得到；</t>
    </r>
    <phoneticPr fontId="6" type="noConversion"/>
  </si>
  <si>
    <r>
      <t xml:space="preserve">Calender thickness </t>
    </r>
    <r>
      <rPr>
        <sz val="11"/>
        <color theme="1"/>
        <rFont val="宋体"/>
        <family val="3"/>
        <charset val="134"/>
      </rPr>
      <t>：冷压厚度，双面</t>
    </r>
    <r>
      <rPr>
        <sz val="11"/>
        <color theme="1"/>
        <rFont val="Calibri"/>
        <family val="2"/>
      </rPr>
      <t>+</t>
    </r>
    <r>
      <rPr>
        <sz val="11"/>
        <color theme="1"/>
        <rFont val="宋体"/>
        <family val="3"/>
        <charset val="134"/>
      </rPr>
      <t>基材厚度即</t>
    </r>
    <r>
      <rPr>
        <sz val="11"/>
        <color theme="1"/>
        <rFont val="Calibri"/>
        <family val="2"/>
      </rPr>
      <t>Single layer thickness*2+</t>
    </r>
    <r>
      <rPr>
        <sz val="11"/>
        <color theme="1"/>
        <rFont val="宋体"/>
        <family val="3"/>
        <charset val="134"/>
      </rPr>
      <t>基材厚度；</t>
    </r>
    <phoneticPr fontId="6" type="noConversion"/>
  </si>
  <si>
    <r>
      <t>Winding swelling</t>
    </r>
    <r>
      <rPr>
        <sz val="11"/>
        <color theme="1"/>
        <rFont val="宋体"/>
        <family val="3"/>
        <charset val="134"/>
      </rPr>
      <t>：卷绕时膨胀后的极片厚度，阳极一般为冷压厚度的</t>
    </r>
    <r>
      <rPr>
        <sz val="11"/>
        <color theme="1"/>
        <rFont val="Calibri"/>
        <family val="2"/>
      </rPr>
      <t>105%</t>
    </r>
    <r>
      <rPr>
        <sz val="11"/>
        <color theme="1"/>
        <rFont val="宋体"/>
        <family val="3"/>
        <charset val="134"/>
      </rPr>
      <t>左右，跟负极石墨种类有关，阴极一般膨胀</t>
    </r>
    <r>
      <rPr>
        <sz val="11"/>
        <color theme="1"/>
        <rFont val="Calibri"/>
        <family val="2"/>
      </rPr>
      <t>1%~3%</t>
    </r>
    <r>
      <rPr>
        <sz val="11"/>
        <color theme="1"/>
        <rFont val="宋体"/>
        <family val="3"/>
        <charset val="134"/>
      </rPr>
      <t>左右；一般压实密度越大，反弹也会越大；</t>
    </r>
    <phoneticPr fontId="6" type="noConversion"/>
  </si>
  <si>
    <r>
      <t xml:space="preserve">Formation swelling </t>
    </r>
    <r>
      <rPr>
        <sz val="11"/>
        <color theme="1"/>
        <rFont val="宋体"/>
        <family val="3"/>
        <charset val="134"/>
      </rPr>
      <t>：化成后膜片膨胀的厚度，阳极一般为冷压厚度</t>
    </r>
    <r>
      <rPr>
        <sz val="11"/>
        <color theme="1"/>
        <rFont val="Calibri"/>
        <family val="2"/>
      </rPr>
      <t>112%~120%</t>
    </r>
    <r>
      <rPr>
        <sz val="11"/>
        <color theme="1"/>
        <rFont val="宋体"/>
        <family val="3"/>
        <charset val="134"/>
      </rPr>
      <t>左右，跟负极石墨种类有关，阴极一般和</t>
    </r>
    <r>
      <rPr>
        <sz val="11"/>
        <color theme="1"/>
        <rFont val="Calibri"/>
        <family val="2"/>
      </rPr>
      <t>Winding swelling</t>
    </r>
    <r>
      <rPr>
        <sz val="11"/>
        <color theme="1"/>
        <rFont val="宋体"/>
        <family val="3"/>
        <charset val="134"/>
      </rPr>
      <t>厚度一样，也跟阴极材料种类有关；</t>
    </r>
    <phoneticPr fontId="6" type="noConversion"/>
  </si>
  <si>
    <r>
      <t>Separator/Cu foil/Al foil</t>
    </r>
    <r>
      <rPr>
        <sz val="11"/>
        <color theme="1"/>
        <rFont val="宋体"/>
        <family val="3"/>
        <charset val="134"/>
      </rPr>
      <t>：隔离膜</t>
    </r>
    <r>
      <rPr>
        <sz val="11"/>
        <color theme="1"/>
        <rFont val="Calibri"/>
        <family val="2"/>
      </rPr>
      <t>/</t>
    </r>
    <r>
      <rPr>
        <sz val="11"/>
        <color theme="1"/>
        <rFont val="宋体"/>
        <family val="3"/>
        <charset val="134"/>
      </rPr>
      <t>铜箔</t>
    </r>
    <r>
      <rPr>
        <sz val="11"/>
        <color theme="1"/>
        <rFont val="Calibri"/>
        <family val="2"/>
      </rPr>
      <t>/</t>
    </r>
    <r>
      <rPr>
        <sz val="11"/>
        <color theme="1"/>
        <rFont val="宋体"/>
        <family val="3"/>
        <charset val="134"/>
      </rPr>
      <t>铝箔，目前常用</t>
    </r>
    <r>
      <rPr>
        <sz val="11"/>
        <color theme="1"/>
        <rFont val="Calibri"/>
        <family val="2"/>
      </rPr>
      <t>EV</t>
    </r>
    <r>
      <rPr>
        <sz val="11"/>
        <color theme="1"/>
        <rFont val="宋体"/>
        <family val="3"/>
        <charset val="134"/>
      </rPr>
      <t>隔离膜的基材厚度为</t>
    </r>
    <r>
      <rPr>
        <sz val="11"/>
        <color theme="1"/>
        <rFont val="Calibri"/>
        <family val="2"/>
      </rPr>
      <t>9um~12um</t>
    </r>
    <r>
      <rPr>
        <sz val="11"/>
        <color theme="1"/>
        <rFont val="宋体"/>
        <family val="3"/>
        <charset val="134"/>
      </rPr>
      <t>，</t>
    </r>
    <r>
      <rPr>
        <sz val="11"/>
        <color theme="1"/>
        <rFont val="Calibri"/>
        <family val="2"/>
      </rPr>
      <t>Cu</t>
    </r>
    <r>
      <rPr>
        <sz val="11"/>
        <color theme="1"/>
        <rFont val="宋体"/>
        <family val="3"/>
        <charset val="134"/>
      </rPr>
      <t>箔为</t>
    </r>
    <r>
      <rPr>
        <sz val="11"/>
        <color theme="1"/>
        <rFont val="Calibri"/>
        <family val="2"/>
      </rPr>
      <t>6~9um</t>
    </r>
    <r>
      <rPr>
        <sz val="11"/>
        <color theme="1"/>
        <rFont val="宋体"/>
        <family val="3"/>
        <charset val="134"/>
      </rPr>
      <t>，</t>
    </r>
    <r>
      <rPr>
        <sz val="11"/>
        <color theme="1"/>
        <rFont val="Calibri"/>
        <family val="2"/>
      </rPr>
      <t>Al</t>
    </r>
    <r>
      <rPr>
        <sz val="11"/>
        <color theme="1"/>
        <rFont val="宋体"/>
        <family val="3"/>
        <charset val="134"/>
      </rPr>
      <t>箔为</t>
    </r>
    <r>
      <rPr>
        <sz val="11"/>
        <color theme="1"/>
        <rFont val="Calibri"/>
        <family val="2"/>
      </rPr>
      <t>12~16um</t>
    </r>
    <r>
      <rPr>
        <sz val="11"/>
        <color theme="1"/>
        <rFont val="宋体"/>
        <family val="3"/>
        <charset val="134"/>
      </rPr>
      <t>，</t>
    </r>
    <phoneticPr fontId="6" type="noConversion"/>
  </si>
  <si>
    <r>
      <t>EOL</t>
    </r>
    <r>
      <rPr>
        <sz val="11"/>
        <color theme="1"/>
        <rFont val="宋体"/>
        <family val="3"/>
        <charset val="134"/>
      </rPr>
      <t>：</t>
    </r>
    <r>
      <rPr>
        <sz val="11"/>
        <color theme="1"/>
        <rFont val="Calibri"/>
        <family val="2"/>
      </rPr>
      <t>End of life</t>
    </r>
    <r>
      <rPr>
        <sz val="11"/>
        <color theme="1"/>
        <rFont val="宋体"/>
        <family val="3"/>
        <charset val="134"/>
      </rPr>
      <t>；</t>
    </r>
    <phoneticPr fontId="6" type="noConversion"/>
  </si>
  <si>
    <r>
      <t>JR Thickness</t>
    </r>
    <r>
      <rPr>
        <sz val="11"/>
        <color theme="1"/>
        <rFont val="宋体"/>
        <family val="3"/>
        <charset val="134"/>
      </rPr>
      <t>：</t>
    </r>
    <r>
      <rPr>
        <sz val="11"/>
        <color theme="1"/>
        <rFont val="Calibri"/>
        <family val="2"/>
      </rPr>
      <t>JR</t>
    </r>
    <r>
      <rPr>
        <sz val="11"/>
        <color theme="1"/>
        <rFont val="宋体"/>
        <family val="3"/>
        <charset val="134"/>
      </rPr>
      <t>厚度，则为阴极厚度</t>
    </r>
    <r>
      <rPr>
        <sz val="11"/>
        <color theme="1"/>
        <rFont val="Calibri"/>
        <family val="2"/>
      </rPr>
      <t>*</t>
    </r>
    <r>
      <rPr>
        <sz val="11"/>
        <color theme="1"/>
        <rFont val="宋体"/>
        <family val="3"/>
        <charset val="134"/>
      </rPr>
      <t>阴极层数</t>
    </r>
    <r>
      <rPr>
        <sz val="11"/>
        <color theme="1"/>
        <rFont val="Calibri"/>
        <family val="2"/>
      </rPr>
      <t>+</t>
    </r>
    <r>
      <rPr>
        <sz val="11"/>
        <color theme="1"/>
        <rFont val="宋体"/>
        <family val="3"/>
        <charset val="134"/>
      </rPr>
      <t>阳极厚度</t>
    </r>
    <r>
      <rPr>
        <sz val="11"/>
        <color theme="1"/>
        <rFont val="Calibri"/>
        <family val="2"/>
      </rPr>
      <t>*</t>
    </r>
    <r>
      <rPr>
        <sz val="11"/>
        <color theme="1"/>
        <rFont val="宋体"/>
        <family val="3"/>
        <charset val="134"/>
      </rPr>
      <t>阳极层数</t>
    </r>
    <r>
      <rPr>
        <sz val="11"/>
        <color theme="1"/>
        <rFont val="Calibri"/>
        <family val="2"/>
      </rPr>
      <t>+</t>
    </r>
    <r>
      <rPr>
        <sz val="11"/>
        <color theme="1"/>
        <rFont val="宋体"/>
        <family val="3"/>
        <charset val="134"/>
      </rPr>
      <t>隔离膜厚度</t>
    </r>
    <r>
      <rPr>
        <sz val="11"/>
        <color theme="1"/>
        <rFont val="Calibri"/>
        <family val="2"/>
      </rPr>
      <t>*</t>
    </r>
    <r>
      <rPr>
        <sz val="11"/>
        <color theme="1"/>
        <rFont val="宋体"/>
        <family val="3"/>
        <charset val="134"/>
      </rPr>
      <t>隔离膜层数，一般阳极比阴极多</t>
    </r>
    <r>
      <rPr>
        <sz val="11"/>
        <color theme="1"/>
        <rFont val="Calibri"/>
        <family val="2"/>
      </rPr>
      <t>2</t>
    </r>
    <r>
      <rPr>
        <sz val="11"/>
        <color theme="1"/>
        <rFont val="宋体"/>
        <family val="3"/>
        <charset val="134"/>
      </rPr>
      <t>层，</t>
    </r>
    <r>
      <rPr>
        <sz val="11"/>
        <color theme="1"/>
        <rFont val="宋体"/>
        <family val="3"/>
        <charset val="134"/>
      </rPr>
      <t>可以把卷绕后的裸电芯拆开后数一数确认一下；</t>
    </r>
    <phoneticPr fontId="6" type="noConversion"/>
  </si>
  <si>
    <r>
      <t>JR Width</t>
    </r>
    <r>
      <rPr>
        <sz val="11"/>
        <color theme="1"/>
        <rFont val="宋体"/>
        <family val="3"/>
        <charset val="134"/>
      </rPr>
      <t>：</t>
    </r>
    <r>
      <rPr>
        <sz val="11"/>
        <color theme="1"/>
        <rFont val="Calibri"/>
        <family val="2"/>
      </rPr>
      <t>JR</t>
    </r>
    <r>
      <rPr>
        <sz val="11"/>
        <color theme="1"/>
        <rFont val="宋体"/>
        <family val="3"/>
        <charset val="134"/>
      </rPr>
      <t>宽度，卷绕后的裸电芯压平后，最内层一圈即卷针的周长，最内层的宽度即为卷芯周长的一半，两侧的宽度之和即</t>
    </r>
    <r>
      <rPr>
        <sz val="11"/>
        <color theme="1"/>
        <rFont val="Calibri"/>
        <family val="2"/>
      </rPr>
      <t>JR</t>
    </r>
    <r>
      <rPr>
        <sz val="11"/>
        <color theme="1"/>
        <rFont val="宋体"/>
        <family val="3"/>
        <charset val="134"/>
      </rPr>
      <t>的厚度，因此</t>
    </r>
    <r>
      <rPr>
        <sz val="11"/>
        <color theme="1"/>
        <rFont val="Calibri"/>
        <family val="2"/>
      </rPr>
      <t>JR</t>
    </r>
    <r>
      <rPr>
        <sz val="11"/>
        <color theme="1"/>
        <rFont val="宋体"/>
        <family val="3"/>
        <charset val="134"/>
      </rPr>
      <t>的宽度为卷芯周长的一半</t>
    </r>
    <r>
      <rPr>
        <sz val="11"/>
        <color theme="1"/>
        <rFont val="Calibri"/>
        <family val="2"/>
      </rPr>
      <t>+JR</t>
    </r>
    <r>
      <rPr>
        <sz val="11"/>
        <color theme="1"/>
        <rFont val="宋体"/>
        <family val="3"/>
        <charset val="134"/>
      </rPr>
      <t>的厚度</t>
    </r>
    <r>
      <rPr>
        <sz val="11"/>
        <color theme="1"/>
        <rFont val="宋体"/>
        <family val="3"/>
        <charset val="134"/>
      </rPr>
      <t>；</t>
    </r>
    <phoneticPr fontId="6" type="noConversion"/>
  </si>
  <si>
    <r>
      <rPr>
        <sz val="11"/>
        <color theme="1"/>
        <rFont val="宋体"/>
        <family val="3"/>
        <charset val="134"/>
      </rPr>
      <t>厚度群裕度：对于硬壳电芯来说，即卷绕后的裸电芯厚度</t>
    </r>
    <r>
      <rPr>
        <sz val="11"/>
        <color theme="1"/>
        <rFont val="Calibri"/>
        <family val="2"/>
      </rPr>
      <t>/</t>
    </r>
    <r>
      <rPr>
        <sz val="11"/>
        <color theme="1"/>
        <rFont val="宋体"/>
        <family val="3"/>
        <charset val="134"/>
      </rPr>
      <t>壳体内部留给电芯最大厚度，为了保证装配以及后期的膨胀预留，一般</t>
    </r>
    <r>
      <rPr>
        <sz val="11"/>
        <color theme="1"/>
        <rFont val="Calibri"/>
        <family val="2"/>
      </rPr>
      <t>NCM</t>
    </r>
    <r>
      <rPr>
        <sz val="11"/>
        <color theme="1"/>
        <rFont val="宋体"/>
        <family val="3"/>
        <charset val="134"/>
      </rPr>
      <t>体系在</t>
    </r>
    <r>
      <rPr>
        <sz val="11"/>
        <color theme="1"/>
        <rFont val="Calibri"/>
        <family val="2"/>
      </rPr>
      <t>88%~90%</t>
    </r>
    <r>
      <rPr>
        <sz val="11"/>
        <color theme="1"/>
        <rFont val="宋体"/>
        <family val="3"/>
        <charset val="134"/>
      </rPr>
      <t>，</t>
    </r>
    <r>
      <rPr>
        <sz val="11"/>
        <color theme="1"/>
        <rFont val="Calibri"/>
        <family val="2"/>
      </rPr>
      <t>LFP</t>
    </r>
    <r>
      <rPr>
        <sz val="11"/>
        <color theme="1"/>
        <rFont val="宋体"/>
        <family val="3"/>
        <charset val="134"/>
      </rPr>
      <t>体系为</t>
    </r>
    <r>
      <rPr>
        <sz val="11"/>
        <color theme="1"/>
        <rFont val="Calibri"/>
        <family val="2"/>
      </rPr>
      <t>92%~93%</t>
    </r>
    <r>
      <rPr>
        <sz val="11"/>
        <color theme="1"/>
        <rFont val="宋体"/>
        <family val="3"/>
        <charset val="134"/>
      </rPr>
      <t>；</t>
    </r>
    <phoneticPr fontId="6" type="noConversion"/>
  </si>
  <si>
    <r>
      <rPr>
        <sz val="11"/>
        <color theme="1"/>
        <rFont val="宋体"/>
        <family val="3"/>
        <charset val="134"/>
      </rPr>
      <t>宽度群裕度：与厚度群欲度略有不同，需要剔除卷针的影响，计算公式为</t>
    </r>
    <r>
      <rPr>
        <sz val="11"/>
        <color theme="1"/>
        <rFont val="Calibri"/>
        <family val="2"/>
      </rPr>
      <t>(</t>
    </r>
    <r>
      <rPr>
        <sz val="11"/>
        <color theme="1"/>
        <rFont val="宋体"/>
        <family val="3"/>
        <charset val="134"/>
      </rPr>
      <t>裸电芯宽度</t>
    </r>
    <r>
      <rPr>
        <sz val="11"/>
        <color theme="1"/>
        <rFont val="Calibri"/>
        <family val="2"/>
      </rPr>
      <t>-</t>
    </r>
    <r>
      <rPr>
        <sz val="11"/>
        <color theme="1"/>
        <rFont val="宋体"/>
        <family val="3"/>
        <charset val="134"/>
      </rPr>
      <t>卷针宽度</t>
    </r>
    <r>
      <rPr>
        <sz val="11"/>
        <color theme="1"/>
        <rFont val="Calibri"/>
        <family val="2"/>
      </rPr>
      <t>)/(</t>
    </r>
    <r>
      <rPr>
        <sz val="11"/>
        <color theme="1"/>
        <rFont val="宋体"/>
        <family val="3"/>
        <charset val="134"/>
      </rPr>
      <t>壳体内部留给电芯的最大宽度</t>
    </r>
    <r>
      <rPr>
        <sz val="11"/>
        <color theme="1"/>
        <rFont val="Calibri"/>
        <family val="2"/>
      </rPr>
      <t>-</t>
    </r>
    <r>
      <rPr>
        <sz val="11"/>
        <color theme="1"/>
        <rFont val="宋体"/>
        <family val="3"/>
        <charset val="134"/>
      </rPr>
      <t>卷针宽度</t>
    </r>
    <r>
      <rPr>
        <sz val="11"/>
        <color theme="1"/>
        <rFont val="Calibri"/>
        <family val="2"/>
      </rPr>
      <t>)</t>
    </r>
    <phoneticPr fontId="6" type="noConversion"/>
  </si>
  <si>
    <r>
      <t>Cell weight</t>
    </r>
    <r>
      <rPr>
        <sz val="11"/>
        <color theme="1"/>
        <rFont val="宋体"/>
        <family val="3"/>
        <charset val="134"/>
      </rPr>
      <t>：电芯重量，即成品电芯各部分的重量之和；</t>
    </r>
    <phoneticPr fontId="6" type="noConversion"/>
  </si>
  <si>
    <r>
      <rPr>
        <b/>
        <sz val="12"/>
        <color theme="1"/>
        <rFont val="宋体"/>
        <family val="3"/>
        <charset val="134"/>
      </rPr>
      <t>设计表中的长度计算</t>
    </r>
    <phoneticPr fontId="6" type="noConversion"/>
  </si>
  <si>
    <r>
      <rPr>
        <sz val="10.5"/>
        <color theme="1"/>
        <rFont val="宋体"/>
        <family val="3"/>
        <charset val="134"/>
      </rPr>
      <t>最后一刀模切计算：极耳位置从折弯处倒着计算，假设</t>
    </r>
    <r>
      <rPr>
        <sz val="10.5"/>
        <color theme="1"/>
        <rFont val="Calibri"/>
        <family val="2"/>
      </rPr>
      <t>Dm</t>
    </r>
    <r>
      <rPr>
        <sz val="10.5"/>
        <color theme="1"/>
        <rFont val="宋体"/>
        <family val="3"/>
        <charset val="134"/>
      </rPr>
      <t>为阴极模切，可以理解为整个极片需要切</t>
    </r>
    <r>
      <rPr>
        <sz val="10.5"/>
        <color theme="1"/>
        <rFont val="Calibri"/>
        <family val="2"/>
      </rPr>
      <t>m</t>
    </r>
    <r>
      <rPr>
        <sz val="10.5"/>
        <color theme="1"/>
        <rFont val="宋体"/>
        <family val="3"/>
        <charset val="134"/>
      </rPr>
      <t>刀，当设计层数为偶数时，</t>
    </r>
    <r>
      <rPr>
        <sz val="10.5"/>
        <color theme="1"/>
        <rFont val="Calibri"/>
        <family val="2"/>
      </rPr>
      <t>m</t>
    </r>
    <r>
      <rPr>
        <sz val="10.5"/>
        <color theme="1"/>
        <rFont val="宋体"/>
        <family val="3"/>
        <charset val="134"/>
      </rPr>
      <t>为奇数</t>
    </r>
    <r>
      <rPr>
        <sz val="10.5"/>
        <color theme="1"/>
        <rFont val="宋体"/>
        <family val="3"/>
        <charset val="134"/>
      </rPr>
      <t>；</t>
    </r>
    <phoneticPr fontId="6" type="noConversion"/>
  </si>
  <si>
    <r>
      <rPr>
        <sz val="10.5"/>
        <color theme="1"/>
        <rFont val="宋体"/>
        <family val="3"/>
        <charset val="134"/>
      </rPr>
      <t>假设</t>
    </r>
    <r>
      <rPr>
        <sz val="10.5"/>
        <color theme="1"/>
        <rFont val="Calibri"/>
        <family val="2"/>
      </rPr>
      <t>Dn</t>
    </r>
    <r>
      <rPr>
        <sz val="10.5"/>
        <color theme="1"/>
        <rFont val="宋体"/>
        <family val="3"/>
        <charset val="134"/>
      </rPr>
      <t>为阳极模切，可以理解为整个极片需要切</t>
    </r>
    <r>
      <rPr>
        <sz val="10.5"/>
        <color theme="1"/>
        <rFont val="Calibri"/>
        <family val="2"/>
      </rPr>
      <t>n</t>
    </r>
    <r>
      <rPr>
        <sz val="10.5"/>
        <color theme="1"/>
        <rFont val="宋体"/>
        <family val="3"/>
        <charset val="134"/>
      </rPr>
      <t>刀，当设计层数为偶数时，</t>
    </r>
    <r>
      <rPr>
        <sz val="10.5"/>
        <color theme="1"/>
        <rFont val="Calibri"/>
        <family val="2"/>
      </rPr>
      <t>n</t>
    </r>
    <r>
      <rPr>
        <sz val="10.5"/>
        <color theme="1"/>
        <rFont val="宋体"/>
        <family val="3"/>
        <charset val="134"/>
      </rPr>
      <t>为偶数</t>
    </r>
    <r>
      <rPr>
        <sz val="10.5"/>
        <color theme="1"/>
        <rFont val="宋体"/>
        <family val="3"/>
        <charset val="134"/>
      </rPr>
      <t>；</t>
    </r>
    <phoneticPr fontId="6" type="noConversion"/>
  </si>
  <si>
    <r>
      <rPr>
        <sz val="11"/>
        <color theme="1"/>
        <rFont val="宋体"/>
        <family val="3"/>
        <charset val="134"/>
      </rPr>
      <t>设计表中有考虑阳极距离底部距离</t>
    </r>
    <r>
      <rPr>
        <sz val="11"/>
        <color theme="1"/>
        <rFont val="Calibri"/>
        <family val="2"/>
      </rPr>
      <t>/</t>
    </r>
    <r>
      <rPr>
        <sz val="11"/>
        <color theme="1"/>
        <rFont val="宋体"/>
        <family val="3"/>
        <charset val="134"/>
      </rPr>
      <t>阴极头部距离底部距离，阳极头部对阴极有</t>
    </r>
    <r>
      <rPr>
        <sz val="11"/>
        <color theme="1"/>
        <rFont val="Calibri"/>
        <family val="2"/>
      </rPr>
      <t>5~10mm overhang</t>
    </r>
    <r>
      <rPr>
        <sz val="11"/>
        <color theme="1"/>
        <rFont val="宋体"/>
        <family val="3"/>
        <charset val="134"/>
      </rPr>
      <t>；</t>
    </r>
    <phoneticPr fontId="6" type="noConversion"/>
  </si>
  <si>
    <r>
      <rPr>
        <b/>
        <sz val="16"/>
        <color theme="1"/>
        <rFont val="宋体"/>
        <family val="3"/>
        <charset val="134"/>
      </rPr>
      <t>质量计算</t>
    </r>
    <phoneticPr fontId="6" type="noConversion"/>
  </si>
  <si>
    <r>
      <rPr>
        <sz val="11"/>
        <color theme="1"/>
        <rFont val="宋体"/>
        <family val="3"/>
        <charset val="134"/>
      </rPr>
      <t>阴极活性物质重量</t>
    </r>
    <r>
      <rPr>
        <sz val="11"/>
        <color theme="1"/>
        <rFont val="Calibri"/>
        <family val="2"/>
      </rPr>
      <t>=</t>
    </r>
    <r>
      <rPr>
        <sz val="11"/>
        <color theme="1"/>
        <rFont val="宋体"/>
        <family val="3"/>
        <charset val="134"/>
      </rPr>
      <t>单个</t>
    </r>
    <r>
      <rPr>
        <sz val="11"/>
        <color theme="1"/>
        <rFont val="Calibri"/>
        <family val="2"/>
      </rPr>
      <t>JR</t>
    </r>
    <r>
      <rPr>
        <sz val="11"/>
        <color theme="1"/>
        <rFont val="宋体"/>
        <family val="3"/>
        <charset val="134"/>
      </rPr>
      <t>阴极膜片（</t>
    </r>
    <r>
      <rPr>
        <sz val="11"/>
        <color theme="1"/>
        <rFont val="Calibri"/>
        <family val="2"/>
      </rPr>
      <t>A</t>
    </r>
    <r>
      <rPr>
        <sz val="11"/>
        <color theme="1"/>
        <rFont val="宋体"/>
        <family val="3"/>
        <charset val="134"/>
      </rPr>
      <t>面长</t>
    </r>
    <r>
      <rPr>
        <sz val="11"/>
        <color theme="1"/>
        <rFont val="Calibri"/>
        <family val="2"/>
      </rPr>
      <t>+B</t>
    </r>
    <r>
      <rPr>
        <sz val="11"/>
        <color theme="1"/>
        <rFont val="宋体"/>
        <family val="3"/>
        <charset val="134"/>
      </rPr>
      <t>面长）</t>
    </r>
    <r>
      <rPr>
        <sz val="11"/>
        <color theme="1"/>
        <rFont val="Calibri"/>
        <family val="2"/>
      </rPr>
      <t>*</t>
    </r>
    <r>
      <rPr>
        <sz val="11"/>
        <color theme="1"/>
        <rFont val="宋体"/>
        <family val="3"/>
        <charset val="134"/>
      </rPr>
      <t>阴极膜片宽</t>
    </r>
    <r>
      <rPr>
        <sz val="11"/>
        <color theme="1"/>
        <rFont val="Calibri"/>
        <family val="2"/>
      </rPr>
      <t>/1540.25*</t>
    </r>
    <r>
      <rPr>
        <sz val="11"/>
        <color theme="1"/>
        <rFont val="宋体"/>
        <family val="3"/>
        <charset val="134"/>
      </rPr>
      <t>阴极涂布重量</t>
    </r>
    <r>
      <rPr>
        <sz val="11"/>
        <color theme="1"/>
        <rFont val="Calibri"/>
        <family val="2"/>
      </rPr>
      <t>*JR</t>
    </r>
    <r>
      <rPr>
        <sz val="11"/>
        <color theme="1"/>
        <rFont val="宋体"/>
        <family val="3"/>
        <charset val="134"/>
      </rPr>
      <t>数量</t>
    </r>
    <r>
      <rPr>
        <sz val="11"/>
        <color theme="1"/>
        <rFont val="Calibri"/>
        <family val="2"/>
      </rPr>
      <t>*</t>
    </r>
    <r>
      <rPr>
        <sz val="11"/>
        <color theme="1"/>
        <rFont val="宋体"/>
        <family val="3"/>
        <charset val="134"/>
      </rPr>
      <t>阴极</t>
    </r>
    <r>
      <rPr>
        <sz val="11"/>
        <color theme="1"/>
        <rFont val="Calibri"/>
        <family val="2"/>
      </rPr>
      <t>loading*1000kg/g(</t>
    </r>
    <r>
      <rPr>
        <sz val="11"/>
        <color theme="1"/>
        <rFont val="宋体"/>
        <family val="3"/>
        <charset val="134"/>
      </rPr>
      <t>换算单位</t>
    </r>
    <r>
      <rPr>
        <sz val="11"/>
        <color theme="1"/>
        <rFont val="Calibri"/>
        <family val="2"/>
      </rPr>
      <t>)</t>
    </r>
    <r>
      <rPr>
        <sz val="11"/>
        <color theme="1"/>
        <rFont val="宋体"/>
        <family val="3"/>
        <charset val="134"/>
      </rPr>
      <t>；</t>
    </r>
    <phoneticPr fontId="6" type="noConversion"/>
  </si>
  <si>
    <r>
      <rPr>
        <sz val="11"/>
        <color theme="1"/>
        <rFont val="宋体"/>
        <family val="3"/>
        <charset val="134"/>
      </rPr>
      <t>基材重量：单个</t>
    </r>
    <r>
      <rPr>
        <sz val="11"/>
        <color theme="1"/>
        <rFont val="Calibri"/>
        <family val="2"/>
      </rPr>
      <t>JR</t>
    </r>
    <r>
      <rPr>
        <sz val="11"/>
        <color theme="1"/>
        <rFont val="宋体"/>
        <family val="3"/>
        <charset val="134"/>
      </rPr>
      <t>基材的长</t>
    </r>
    <r>
      <rPr>
        <sz val="11"/>
        <color theme="1"/>
        <rFont val="Calibri"/>
        <family val="2"/>
      </rPr>
      <t>*</t>
    </r>
    <r>
      <rPr>
        <sz val="11"/>
        <color theme="1"/>
        <rFont val="宋体"/>
        <family val="3"/>
        <charset val="134"/>
      </rPr>
      <t>基材宽</t>
    </r>
    <r>
      <rPr>
        <sz val="11"/>
        <color theme="1"/>
        <rFont val="Calibri"/>
        <family val="2"/>
      </rPr>
      <t>*JR</t>
    </r>
    <r>
      <rPr>
        <sz val="11"/>
        <color theme="1"/>
        <rFont val="宋体"/>
        <family val="3"/>
        <charset val="134"/>
      </rPr>
      <t>数</t>
    </r>
    <r>
      <rPr>
        <sz val="11"/>
        <color theme="1"/>
        <rFont val="Calibri"/>
        <family val="2"/>
      </rPr>
      <t>*</t>
    </r>
    <r>
      <rPr>
        <sz val="11"/>
        <color theme="1"/>
        <rFont val="宋体"/>
        <family val="3"/>
        <charset val="134"/>
      </rPr>
      <t>基材的面密度</t>
    </r>
    <r>
      <rPr>
        <sz val="11"/>
        <color theme="1"/>
        <rFont val="Calibri"/>
        <family val="2"/>
      </rPr>
      <t>*1000kg/g(</t>
    </r>
    <r>
      <rPr>
        <sz val="11"/>
        <color theme="1"/>
        <rFont val="宋体"/>
        <family val="3"/>
        <charset val="134"/>
      </rPr>
      <t>换算单位</t>
    </r>
    <r>
      <rPr>
        <sz val="11"/>
        <color theme="1"/>
        <rFont val="Calibri"/>
        <family val="2"/>
      </rPr>
      <t>)</t>
    </r>
    <r>
      <rPr>
        <sz val="11"/>
        <color theme="1"/>
        <rFont val="宋体"/>
        <family val="3"/>
        <charset val="134"/>
      </rPr>
      <t>，一般</t>
    </r>
    <r>
      <rPr>
        <sz val="11"/>
        <color theme="1"/>
        <rFont val="Calibri"/>
        <family val="2"/>
      </rPr>
      <t>13um</t>
    </r>
    <r>
      <rPr>
        <sz val="11"/>
        <color theme="1"/>
        <rFont val="宋体"/>
        <family val="3"/>
        <charset val="134"/>
      </rPr>
      <t>铝箔的面密度为</t>
    </r>
    <r>
      <rPr>
        <sz val="11"/>
        <color theme="1"/>
        <rFont val="Calibri"/>
        <family val="2"/>
      </rPr>
      <t>~0.054/1540.25mm^2</t>
    </r>
    <r>
      <rPr>
        <sz val="11"/>
        <color theme="1"/>
        <rFont val="宋体"/>
        <family val="3"/>
        <charset val="134"/>
      </rPr>
      <t>，</t>
    </r>
    <r>
      <rPr>
        <sz val="11"/>
        <color theme="1"/>
        <rFont val="Calibri"/>
        <family val="2"/>
      </rPr>
      <t>8um Cu</t>
    </r>
    <r>
      <rPr>
        <sz val="11"/>
        <color theme="1"/>
        <rFont val="宋体"/>
        <family val="3"/>
        <charset val="134"/>
      </rPr>
      <t>箔的面密度为</t>
    </r>
    <r>
      <rPr>
        <sz val="11"/>
        <color theme="1"/>
        <rFont val="Calibri"/>
        <family val="2"/>
      </rPr>
      <t>0.112~0.115/1540.25mm^2</t>
    </r>
    <r>
      <rPr>
        <sz val="11"/>
        <color theme="1"/>
        <rFont val="宋体"/>
        <family val="3"/>
        <charset val="134"/>
      </rPr>
      <t>，跟生产的厂家有关，可以查图纸的规格和</t>
    </r>
    <r>
      <rPr>
        <sz val="11"/>
        <color theme="1"/>
        <rFont val="Calibri"/>
        <family val="2"/>
      </rPr>
      <t>IQC</t>
    </r>
    <r>
      <rPr>
        <sz val="11"/>
        <color theme="1"/>
        <rFont val="宋体"/>
        <family val="3"/>
        <charset val="134"/>
      </rPr>
      <t>来料检测的数据；</t>
    </r>
    <phoneticPr fontId="6" type="noConversion"/>
  </si>
  <si>
    <r>
      <t xml:space="preserve"> Tab</t>
    </r>
    <r>
      <rPr>
        <sz val="11"/>
        <color theme="1"/>
        <rFont val="宋体"/>
        <family val="3"/>
        <charset val="134"/>
      </rPr>
      <t>（极耳）重量计算：即单个</t>
    </r>
    <r>
      <rPr>
        <sz val="11"/>
        <color theme="1"/>
        <rFont val="Calibri"/>
        <family val="2"/>
      </rPr>
      <t>JR</t>
    </r>
    <r>
      <rPr>
        <sz val="11"/>
        <color theme="1"/>
        <rFont val="宋体"/>
        <family val="3"/>
        <charset val="134"/>
      </rPr>
      <t>的</t>
    </r>
    <r>
      <rPr>
        <sz val="11"/>
        <color theme="1"/>
        <rFont val="Calibri"/>
        <family val="2"/>
      </rPr>
      <t>Tab</t>
    </r>
    <r>
      <rPr>
        <sz val="11"/>
        <color theme="1"/>
        <rFont val="宋体"/>
        <family val="3"/>
        <charset val="134"/>
      </rPr>
      <t>数量</t>
    </r>
    <r>
      <rPr>
        <sz val="11"/>
        <color theme="1"/>
        <rFont val="Calibri"/>
        <family val="2"/>
      </rPr>
      <t>*JR</t>
    </r>
    <r>
      <rPr>
        <sz val="11"/>
        <color theme="1"/>
        <rFont val="宋体"/>
        <family val="3"/>
        <charset val="134"/>
      </rPr>
      <t>的数量</t>
    </r>
    <r>
      <rPr>
        <sz val="11"/>
        <color theme="1"/>
        <rFont val="Calibri"/>
        <family val="2"/>
      </rPr>
      <t>*</t>
    </r>
    <r>
      <rPr>
        <sz val="11"/>
        <color theme="1"/>
        <rFont val="宋体"/>
        <family val="3"/>
        <charset val="134"/>
      </rPr>
      <t>单个</t>
    </r>
    <r>
      <rPr>
        <sz val="11"/>
        <color theme="1"/>
        <rFont val="Calibri"/>
        <family val="2"/>
      </rPr>
      <t>Tab</t>
    </r>
    <r>
      <rPr>
        <sz val="11"/>
        <color theme="1"/>
        <rFont val="宋体"/>
        <family val="3"/>
        <charset val="134"/>
      </rPr>
      <t>的面积，一般卷绕设计一圈一个极耳，则阴极极耳数为层数</t>
    </r>
    <r>
      <rPr>
        <sz val="11"/>
        <color theme="1"/>
        <rFont val="Calibri"/>
        <family val="2"/>
      </rPr>
      <t>Layer/2</t>
    </r>
    <r>
      <rPr>
        <sz val="11"/>
        <color theme="1"/>
        <rFont val="宋体"/>
        <family val="3"/>
        <charset val="134"/>
      </rPr>
      <t>，阳极比阴极多一圈，即比阴极多</t>
    </r>
    <r>
      <rPr>
        <sz val="11"/>
        <color theme="1"/>
        <rFont val="Calibri"/>
        <family val="2"/>
      </rPr>
      <t>1</t>
    </r>
    <r>
      <rPr>
        <sz val="11"/>
        <color theme="1"/>
        <rFont val="宋体"/>
        <family val="3"/>
        <charset val="134"/>
      </rPr>
      <t>个极耳；为了保证卷绕时极耳不打卷，一般极耳采用梯形设计，底端（即根部）宽，顶端窄</t>
    </r>
    <r>
      <rPr>
        <sz val="11"/>
        <color theme="1"/>
        <rFont val="宋体"/>
        <family val="3"/>
        <charset val="134"/>
      </rPr>
      <t>；</t>
    </r>
    <phoneticPr fontId="6" type="noConversion"/>
  </si>
  <si>
    <r>
      <rPr>
        <sz val="11"/>
        <color theme="1"/>
        <rFont val="宋体"/>
        <family val="3"/>
        <charset val="134"/>
      </rPr>
      <t>隔离膜计算：隔离膜的量在</t>
    </r>
    <r>
      <rPr>
        <sz val="11"/>
        <color theme="1"/>
        <rFont val="Calibri"/>
        <family val="2"/>
      </rPr>
      <t>BOM</t>
    </r>
    <r>
      <rPr>
        <sz val="11"/>
        <color theme="1"/>
        <rFont val="宋体"/>
        <family val="3"/>
        <charset val="134"/>
      </rPr>
      <t>表中一般计算为平方米，即隔离膜的长</t>
    </r>
    <r>
      <rPr>
        <sz val="11"/>
        <color theme="1"/>
        <rFont val="Calibri"/>
        <family val="2"/>
      </rPr>
      <t>*</t>
    </r>
    <r>
      <rPr>
        <sz val="11"/>
        <color theme="1"/>
        <rFont val="宋体"/>
        <family val="3"/>
        <charset val="134"/>
      </rPr>
      <t>宽</t>
    </r>
    <r>
      <rPr>
        <sz val="11"/>
        <color theme="1"/>
        <rFont val="Calibri"/>
        <family val="2"/>
      </rPr>
      <t>/1000000(</t>
    </r>
    <r>
      <rPr>
        <sz val="11"/>
        <color theme="1"/>
        <rFont val="宋体"/>
        <family val="3"/>
        <charset val="134"/>
      </rPr>
      <t>单位换算</t>
    </r>
    <r>
      <rPr>
        <sz val="11"/>
        <color theme="1"/>
        <rFont val="Calibri"/>
        <family val="2"/>
      </rPr>
      <t>)</t>
    </r>
    <r>
      <rPr>
        <sz val="11"/>
        <color theme="1"/>
        <rFont val="宋体"/>
        <family val="3"/>
        <charset val="134"/>
      </rPr>
      <t>，在计算电芯重量时换算为质量单位；</t>
    </r>
    <phoneticPr fontId="6" type="noConversion"/>
  </si>
  <si>
    <r>
      <rPr>
        <sz val="11"/>
        <color theme="1"/>
        <rFont val="宋体"/>
        <family val="3"/>
        <charset val="134"/>
      </rPr>
      <t>成品电芯重量为各部分的重量之和，应注意扣除</t>
    </r>
    <r>
      <rPr>
        <sz val="11"/>
        <color theme="1"/>
        <rFont val="Calibri"/>
        <family val="2"/>
      </rPr>
      <t>NMP</t>
    </r>
    <r>
      <rPr>
        <sz val="11"/>
        <color theme="1"/>
        <rFont val="宋体"/>
        <family val="3"/>
        <charset val="134"/>
      </rPr>
      <t>以及</t>
    </r>
    <r>
      <rPr>
        <sz val="11"/>
        <color theme="1"/>
        <rFont val="Calibri"/>
        <family val="2"/>
      </rPr>
      <t>DI-Water</t>
    </r>
    <r>
      <rPr>
        <sz val="11"/>
        <color theme="1"/>
        <rFont val="宋体"/>
        <family val="3"/>
        <charset val="134"/>
      </rPr>
      <t>等不在电芯中的部分；</t>
    </r>
    <r>
      <rPr>
        <sz val="11"/>
        <color theme="1"/>
        <rFont val="Calibri"/>
        <family val="2"/>
      </rPr>
      <t>wh/kg</t>
    </r>
    <r>
      <rPr>
        <sz val="11"/>
        <color theme="1"/>
        <rFont val="宋体"/>
        <family val="3"/>
        <charset val="134"/>
      </rPr>
      <t>即用电芯的容量</t>
    </r>
    <r>
      <rPr>
        <sz val="11"/>
        <color theme="1"/>
        <rFont val="Calibri"/>
        <family val="2"/>
      </rPr>
      <t>*</t>
    </r>
    <r>
      <rPr>
        <sz val="11"/>
        <color theme="1"/>
        <rFont val="宋体"/>
        <family val="3"/>
        <charset val="134"/>
      </rPr>
      <t>电压平台</t>
    </r>
    <r>
      <rPr>
        <sz val="11"/>
        <color theme="1"/>
        <rFont val="Calibri"/>
        <family val="2"/>
      </rPr>
      <t>/</t>
    </r>
    <r>
      <rPr>
        <sz val="11"/>
        <color theme="1"/>
        <rFont val="宋体"/>
        <family val="3"/>
        <charset val="134"/>
      </rPr>
      <t>电芯的重量，一般正极</t>
    </r>
    <r>
      <rPr>
        <sz val="11"/>
        <color theme="1"/>
        <rFont val="Calibri"/>
        <family val="2"/>
      </rPr>
      <t>LFP</t>
    </r>
    <r>
      <rPr>
        <sz val="11"/>
        <color theme="1"/>
        <rFont val="宋体"/>
        <family val="3"/>
        <charset val="134"/>
      </rPr>
      <t>配石墨负极的电压平台为</t>
    </r>
    <r>
      <rPr>
        <sz val="11"/>
        <color theme="1"/>
        <rFont val="Calibri"/>
        <family val="2"/>
      </rPr>
      <t>3.2V</t>
    </r>
    <r>
      <rPr>
        <sz val="11"/>
        <color theme="1"/>
        <rFont val="宋体"/>
        <family val="3"/>
        <charset val="134"/>
      </rPr>
      <t>，</t>
    </r>
    <r>
      <rPr>
        <sz val="11"/>
        <color theme="1"/>
        <rFont val="Calibri"/>
        <family val="2"/>
      </rPr>
      <t>NCM</t>
    </r>
    <r>
      <rPr>
        <sz val="11"/>
        <color theme="1"/>
        <rFont val="宋体"/>
        <family val="3"/>
        <charset val="134"/>
      </rPr>
      <t>正极配石墨负极的电压平台为</t>
    </r>
    <r>
      <rPr>
        <sz val="11"/>
        <color theme="1"/>
        <rFont val="Calibri"/>
        <family val="2"/>
      </rPr>
      <t>3.6~3.7V</t>
    </r>
    <r>
      <rPr>
        <sz val="11"/>
        <color theme="1"/>
        <rFont val="宋体"/>
        <family val="3"/>
        <charset val="134"/>
      </rPr>
      <t>，跟正极的上限电压有关；</t>
    </r>
    <phoneticPr fontId="6" type="noConversion"/>
  </si>
  <si>
    <r>
      <rPr>
        <sz val="11"/>
        <color theme="1"/>
        <rFont val="宋体"/>
        <family val="3"/>
        <charset val="134"/>
      </rPr>
      <t>电芯的</t>
    </r>
    <r>
      <rPr>
        <sz val="11"/>
        <color theme="1"/>
        <rFont val="Calibri"/>
        <family val="2"/>
      </rPr>
      <t>BOM</t>
    </r>
    <r>
      <rPr>
        <sz val="11"/>
        <color theme="1"/>
        <rFont val="宋体"/>
        <family val="3"/>
        <charset val="134"/>
      </rPr>
      <t>：电芯的</t>
    </r>
    <r>
      <rPr>
        <sz val="11"/>
        <color theme="1"/>
        <rFont val="Calibri"/>
        <family val="2"/>
      </rPr>
      <t>BOM</t>
    </r>
    <r>
      <rPr>
        <sz val="11"/>
        <color theme="1"/>
        <rFont val="宋体"/>
        <family val="3"/>
        <charset val="134"/>
      </rPr>
      <t>成本计算应包含</t>
    </r>
    <r>
      <rPr>
        <sz val="11"/>
        <color theme="1"/>
        <rFont val="Calibri"/>
        <family val="2"/>
      </rPr>
      <t>NMP</t>
    </r>
    <r>
      <rPr>
        <sz val="11"/>
        <color theme="1"/>
        <rFont val="宋体"/>
        <family val="3"/>
        <charset val="134"/>
      </rPr>
      <t>的用量，不包含</t>
    </r>
    <r>
      <rPr>
        <sz val="11"/>
        <color theme="1"/>
        <rFont val="Calibri"/>
        <family val="2"/>
      </rPr>
      <t>DI-</t>
    </r>
    <r>
      <rPr>
        <sz val="11"/>
        <color theme="1"/>
        <rFont val="宋体"/>
        <family val="3"/>
        <charset val="134"/>
      </rPr>
      <t>水的用量，不包含</t>
    </r>
    <r>
      <rPr>
        <sz val="11"/>
        <color theme="1"/>
        <rFont val="Calibri"/>
        <family val="2"/>
      </rPr>
      <t>Cu</t>
    </r>
    <r>
      <rPr>
        <sz val="11"/>
        <color theme="1"/>
        <rFont val="宋体"/>
        <family val="3"/>
        <charset val="134"/>
      </rPr>
      <t>箔已经切掉不在电芯中的部分（这部分作为利用率计算）</t>
    </r>
    <phoneticPr fontId="6" type="noConversion"/>
  </si>
  <si>
    <t>Total</t>
    <phoneticPr fontId="6" type="noConversion"/>
  </si>
  <si>
    <t>Density
(g/cm3)</t>
    <phoneticPr fontId="6" type="noConversion"/>
  </si>
  <si>
    <t>注：本页为常用材料信息收集列表，为设计提供基础数据</t>
    <phoneticPr fontId="6" type="noConversion"/>
  </si>
  <si>
    <t>PN</t>
    <phoneticPr fontId="6" type="noConversion"/>
  </si>
  <si>
    <t>注：上表数据不足时需手动补充</t>
    <phoneticPr fontId="5" type="noConversion"/>
  </si>
  <si>
    <r>
      <rPr>
        <sz val="10"/>
        <rFont val="宋体"/>
        <family val="3"/>
        <charset val="134"/>
      </rPr>
      <t>是否经过</t>
    </r>
    <r>
      <rPr>
        <sz val="10"/>
        <rFont val="Calibri"/>
        <family val="2"/>
      </rPr>
      <t>SE</t>
    </r>
    <r>
      <rPr>
        <sz val="10"/>
        <rFont val="宋体"/>
        <family val="3"/>
        <charset val="134"/>
      </rPr>
      <t>确认</t>
    </r>
    <phoneticPr fontId="6" type="noConversion"/>
  </si>
  <si>
    <r>
      <rPr>
        <sz val="10"/>
        <color theme="1"/>
        <rFont val="宋体"/>
        <family val="3"/>
        <charset val="134"/>
      </rPr>
      <t>材料厚度</t>
    </r>
    <phoneticPr fontId="6" type="noConversion"/>
  </si>
  <si>
    <r>
      <rPr>
        <sz val="10"/>
        <color theme="1"/>
        <rFont val="宋体"/>
        <family val="3"/>
        <charset val="134"/>
      </rPr>
      <t xml:space="preserve">
</t>
    </r>
    <r>
      <rPr>
        <sz val="10"/>
        <color theme="1"/>
        <rFont val="Calibri"/>
        <family val="2"/>
      </rPr>
      <t>Cu</t>
    </r>
    <r>
      <rPr>
        <sz val="10"/>
        <color theme="1"/>
        <rFont val="宋体"/>
        <family val="3"/>
        <charset val="134"/>
      </rPr>
      <t>箔</t>
    </r>
    <phoneticPr fontId="6" type="noConversion"/>
  </si>
  <si>
    <r>
      <rPr>
        <sz val="10"/>
        <color theme="1"/>
        <rFont val="宋体"/>
        <family val="3"/>
        <charset val="134"/>
      </rPr>
      <t xml:space="preserve">
</t>
    </r>
    <r>
      <rPr>
        <sz val="10"/>
        <color theme="1"/>
        <rFont val="Calibri"/>
        <family val="2"/>
      </rPr>
      <t>Al</t>
    </r>
    <r>
      <rPr>
        <sz val="10"/>
        <color theme="1"/>
        <rFont val="宋体"/>
        <family val="3"/>
        <charset val="134"/>
      </rPr>
      <t>箔</t>
    </r>
    <phoneticPr fontId="6" type="noConversion"/>
  </si>
  <si>
    <t>NO.</t>
    <phoneticPr fontId="5" type="noConversion"/>
  </si>
  <si>
    <t>Separator</t>
    <phoneticPr fontId="5" type="noConversion"/>
  </si>
  <si>
    <t>Porosity</t>
    <phoneticPr fontId="5" type="noConversion"/>
  </si>
  <si>
    <t>g/1540.25mm2</t>
  </si>
  <si>
    <t>%</t>
    <phoneticPr fontId="5" type="noConversion"/>
  </si>
  <si>
    <r>
      <t>PN</t>
    </r>
    <r>
      <rPr>
        <sz val="10"/>
        <rFont val="宋体"/>
        <family val="3"/>
        <charset val="134"/>
      </rPr>
      <t>码</t>
    </r>
    <phoneticPr fontId="6" type="noConversion"/>
  </si>
  <si>
    <t>Thickness</t>
    <phoneticPr fontId="5" type="noConversion"/>
  </si>
  <si>
    <t>Foil</t>
    <phoneticPr fontId="6" type="noConversion"/>
  </si>
  <si>
    <r>
      <t>PMC</t>
    </r>
    <r>
      <rPr>
        <sz val="10"/>
        <rFont val="宋体"/>
        <family val="3"/>
        <charset val="134"/>
      </rPr>
      <t>确认</t>
    </r>
    <phoneticPr fontId="5" type="noConversion"/>
  </si>
  <si>
    <r>
      <t>Total
(</t>
    </r>
    <r>
      <rPr>
        <sz val="10"/>
        <rFont val="宋体"/>
        <family val="3"/>
        <charset val="134"/>
      </rPr>
      <t>不含优率</t>
    </r>
    <r>
      <rPr>
        <sz val="10"/>
        <rFont val="Calibri"/>
        <family val="2"/>
      </rPr>
      <t>)</t>
    </r>
    <phoneticPr fontId="5" type="noConversion"/>
  </si>
  <si>
    <r>
      <t>Total
(</t>
    </r>
    <r>
      <rPr>
        <sz val="10"/>
        <rFont val="宋体"/>
        <family val="3"/>
        <charset val="134"/>
      </rPr>
      <t>含优率</t>
    </r>
    <r>
      <rPr>
        <sz val="10"/>
        <rFont val="Calibri"/>
        <family val="2"/>
      </rPr>
      <t>)</t>
    </r>
    <phoneticPr fontId="5" type="noConversion"/>
  </si>
  <si>
    <t>Real Density
(g/ml)</t>
  </si>
  <si>
    <t>Real Density
(g/ml)</t>
    <phoneticPr fontId="5" type="noConversion"/>
  </si>
  <si>
    <t>Thickness
(mm)</t>
  </si>
  <si>
    <t>Width
(mm)</t>
  </si>
  <si>
    <t>Real Density</t>
    <phoneticPr fontId="6" type="noConversion"/>
  </si>
  <si>
    <t>g/ml</t>
    <phoneticPr fontId="6" type="noConversion"/>
  </si>
  <si>
    <r>
      <t>PN</t>
    </r>
    <r>
      <rPr>
        <sz val="10"/>
        <rFont val="宋体"/>
        <family val="3"/>
        <charset val="134"/>
      </rPr>
      <t>码</t>
    </r>
    <phoneticPr fontId="6" type="noConversion"/>
  </si>
  <si>
    <t>Material</t>
    <phoneticPr fontId="6" type="noConversion"/>
  </si>
  <si>
    <t>Vendor</t>
    <phoneticPr fontId="6" type="noConversion"/>
  </si>
  <si>
    <t>(um)</t>
    <phoneticPr fontId="5" type="noConversion"/>
  </si>
  <si>
    <r>
      <rPr>
        <sz val="8"/>
        <rFont val="宋体"/>
        <family val="3"/>
        <charset val="134"/>
      </rPr>
      <t>裸膜</t>
    </r>
    <r>
      <rPr>
        <sz val="8"/>
        <rFont val="Calibri"/>
        <family val="2"/>
      </rPr>
      <t>+CCS+PCS</t>
    </r>
    <phoneticPr fontId="6" type="noConversion"/>
  </si>
  <si>
    <t>RI材料货架</t>
    <phoneticPr fontId="5" type="noConversion"/>
  </si>
  <si>
    <t>PTO Data</t>
    <phoneticPr fontId="6" type="noConversion"/>
  </si>
  <si>
    <t>Material</t>
    <phoneticPr fontId="5" type="noConversion"/>
  </si>
  <si>
    <t>Active material</t>
    <phoneticPr fontId="5" type="noConversion"/>
  </si>
  <si>
    <t>Electrolyte</t>
    <phoneticPr fontId="6" type="noConversion"/>
  </si>
  <si>
    <r>
      <rPr>
        <sz val="10"/>
        <color theme="1"/>
        <rFont val="宋体"/>
        <family val="2"/>
      </rPr>
      <t xml:space="preserve">设计使用重量
</t>
    </r>
    <r>
      <rPr>
        <sz val="10"/>
        <color theme="1"/>
        <rFont val="Calibri"/>
        <family val="2"/>
      </rPr>
      <t>(g/1540.25mm2)</t>
    </r>
    <phoneticPr fontId="6" type="noConversion"/>
  </si>
  <si>
    <t>Weight
(g/1540.25mm2)</t>
    <phoneticPr fontId="6" type="noConversion"/>
  </si>
  <si>
    <t>注：默认宽度方向与厚度方向膨胀比例相同；</t>
    <phoneticPr fontId="6" type="noConversion"/>
  </si>
  <si>
    <t>设计工程师</t>
    <phoneticPr fontId="5" type="noConversion"/>
  </si>
  <si>
    <t>顶盖板厚</t>
    <phoneticPr fontId="6" type="noConversion"/>
  </si>
  <si>
    <t>顶盖下塑胶外宽</t>
    <phoneticPr fontId="5" type="noConversion"/>
  </si>
  <si>
    <t>极柱下表面宽度</t>
    <phoneticPr fontId="5" type="noConversion"/>
  </si>
  <si>
    <t>极柱下表面长度</t>
    <phoneticPr fontId="5" type="noConversion"/>
  </si>
  <si>
    <r>
      <rPr>
        <sz val="8"/>
        <color theme="1"/>
        <rFont val="宋体"/>
        <family val="3"/>
        <charset val="134"/>
      </rPr>
      <t>塑胶钉</t>
    </r>
  </si>
  <si>
    <t>顶盖(体积只算顶盖片及以下的部分)</t>
    <phoneticPr fontId="5" type="noConversion"/>
  </si>
  <si>
    <t>壳体</t>
    <phoneticPr fontId="5" type="noConversion"/>
  </si>
  <si>
    <t>底托板</t>
    <phoneticPr fontId="5" type="noConversion"/>
  </si>
  <si>
    <t>顶盖贴片</t>
    <phoneticPr fontId="5" type="noConversion"/>
  </si>
  <si>
    <t>底部贴片</t>
    <phoneticPr fontId="5" type="noConversion"/>
  </si>
  <si>
    <r>
      <rPr>
        <sz val="8"/>
        <color theme="1"/>
        <rFont val="宋体"/>
        <family val="3"/>
        <charset val="134"/>
      </rPr>
      <t>顶支架</t>
    </r>
    <r>
      <rPr>
        <sz val="8"/>
        <color theme="1"/>
        <rFont val="Calibri"/>
        <family val="2"/>
      </rPr>
      <t>A</t>
    </r>
    <phoneticPr fontId="5" type="noConversion"/>
  </si>
  <si>
    <r>
      <rPr>
        <sz val="8"/>
        <color theme="1"/>
        <rFont val="宋体"/>
        <family val="3"/>
        <charset val="134"/>
      </rPr>
      <t>顶支架</t>
    </r>
    <r>
      <rPr>
        <sz val="8"/>
        <color theme="1"/>
        <rFont val="Calibri"/>
        <family val="2"/>
      </rPr>
      <t>B</t>
    </r>
    <phoneticPr fontId="5" type="noConversion"/>
  </si>
  <si>
    <r>
      <t>Al</t>
    </r>
    <r>
      <rPr>
        <sz val="8"/>
        <color theme="1"/>
        <rFont val="宋体"/>
        <family val="3"/>
        <charset val="134"/>
      </rPr>
      <t>软连接</t>
    </r>
    <phoneticPr fontId="5" type="noConversion"/>
  </si>
  <si>
    <r>
      <t>Cu</t>
    </r>
    <r>
      <rPr>
        <sz val="8"/>
        <color theme="1"/>
        <rFont val="宋体"/>
        <family val="3"/>
        <charset val="134"/>
      </rPr>
      <t>软连接</t>
    </r>
    <phoneticPr fontId="5" type="noConversion"/>
  </si>
  <si>
    <t>蓝膜</t>
    <phoneticPr fontId="5" type="noConversion"/>
  </si>
  <si>
    <r>
      <rPr>
        <sz val="8"/>
        <color theme="1"/>
        <rFont val="宋体"/>
        <family val="3"/>
        <charset val="134"/>
      </rPr>
      <t>密封铝钉</t>
    </r>
    <phoneticPr fontId="5" type="noConversion"/>
  </si>
  <si>
    <r>
      <rPr>
        <sz val="8"/>
        <color theme="1"/>
        <rFont val="宋体"/>
        <family val="3"/>
        <charset val="134"/>
      </rPr>
      <t>体积</t>
    </r>
    <r>
      <rPr>
        <sz val="8"/>
        <color theme="1"/>
        <rFont val="Calibri"/>
        <family val="2"/>
      </rPr>
      <t>/mm3</t>
    </r>
    <phoneticPr fontId="5" type="noConversion"/>
  </si>
  <si>
    <t>顶盖板厚</t>
    <phoneticPr fontId="5" type="noConversion"/>
  </si>
  <si>
    <t>电芯厚度</t>
    <phoneticPr fontId="5" type="noConversion"/>
  </si>
  <si>
    <t>电芯宽度</t>
    <phoneticPr fontId="5" type="noConversion"/>
  </si>
  <si>
    <t>电芯肩高</t>
    <phoneticPr fontId="5" type="noConversion"/>
  </si>
  <si>
    <t>壳体底厚</t>
    <phoneticPr fontId="6" type="noConversion"/>
  </si>
  <si>
    <t>壳体大面壁厚</t>
    <phoneticPr fontId="6" type="noConversion"/>
  </si>
  <si>
    <t>壳体侧面壁厚</t>
    <phoneticPr fontId="6" type="noConversion"/>
  </si>
  <si>
    <t>支架(下塑胶)高</t>
    <phoneticPr fontId="5" type="noConversion"/>
  </si>
  <si>
    <t>底托板厚</t>
    <phoneticPr fontId="6" type="noConversion"/>
  </si>
  <si>
    <r>
      <t>Mylar</t>
    </r>
    <r>
      <rPr>
        <sz val="10"/>
        <color theme="1"/>
        <rFont val="宋体"/>
        <family val="3"/>
        <charset val="134"/>
      </rPr>
      <t>厚</t>
    </r>
    <phoneticPr fontId="6" type="noConversion"/>
  </si>
  <si>
    <t>支架(下塑胶)高</t>
    <phoneticPr fontId="6" type="noConversion"/>
  </si>
  <si>
    <r>
      <rPr>
        <sz val="10"/>
        <color theme="1"/>
        <rFont val="宋体"/>
        <family val="3"/>
        <charset val="134"/>
      </rPr>
      <t>电芯肩高</t>
    </r>
    <r>
      <rPr>
        <sz val="10"/>
        <color theme="1"/>
        <rFont val="Calibri"/>
        <family val="2"/>
      </rPr>
      <t>(</t>
    </r>
    <r>
      <rPr>
        <sz val="10"/>
        <color theme="1"/>
        <rFont val="宋体"/>
        <family val="3"/>
        <charset val="134"/>
      </rPr>
      <t>不含顶底贴片及蓝膜</t>
    </r>
    <r>
      <rPr>
        <sz val="10"/>
        <color theme="1"/>
        <rFont val="Calibri"/>
        <family val="2"/>
      </rPr>
      <t>)</t>
    </r>
    <phoneticPr fontId="6" type="noConversion"/>
  </si>
  <si>
    <t>壳体大面壁厚</t>
    <phoneticPr fontId="6" type="noConversion"/>
  </si>
  <si>
    <t>壳体侧面壁厚</t>
    <phoneticPr fontId="6" type="noConversion"/>
  </si>
  <si>
    <t>壳体底厚</t>
    <phoneticPr fontId="6" type="noConversion"/>
  </si>
  <si>
    <r>
      <t>PET</t>
    </r>
    <r>
      <rPr>
        <sz val="8"/>
        <color theme="1"/>
        <rFont val="宋体"/>
        <family val="3"/>
        <charset val="134"/>
      </rPr>
      <t>贴片</t>
    </r>
    <r>
      <rPr>
        <sz val="8"/>
        <color theme="1"/>
        <rFont val="Calibri"/>
        <family val="2"/>
      </rPr>
      <t>(</t>
    </r>
    <r>
      <rPr>
        <sz val="8"/>
        <color theme="1"/>
        <rFont val="宋体"/>
        <family val="3"/>
        <charset val="134"/>
      </rPr>
      <t>表面</t>
    </r>
    <r>
      <rPr>
        <sz val="8"/>
        <color theme="1"/>
        <rFont val="Calibri"/>
        <family val="2"/>
      </rPr>
      <t>)</t>
    </r>
    <phoneticPr fontId="5" type="noConversion"/>
  </si>
  <si>
    <r>
      <t>AL</t>
    </r>
    <r>
      <rPr>
        <sz val="8"/>
        <color theme="1"/>
        <rFont val="宋体"/>
        <family val="3"/>
        <charset val="134"/>
      </rPr>
      <t>焊接压片</t>
    </r>
    <phoneticPr fontId="5" type="noConversion"/>
  </si>
  <si>
    <r>
      <t>Cu</t>
    </r>
    <r>
      <rPr>
        <sz val="8"/>
        <color theme="1"/>
        <rFont val="宋体"/>
        <family val="3"/>
        <charset val="134"/>
      </rPr>
      <t>焊接压片</t>
    </r>
    <phoneticPr fontId="5" type="noConversion"/>
  </si>
  <si>
    <t>机械件所占的体积</t>
    <phoneticPr fontId="5" type="noConversion"/>
  </si>
  <si>
    <t>Remark</t>
    <phoneticPr fontId="5" type="noConversion"/>
  </si>
  <si>
    <t>其他辅料</t>
    <phoneticPr fontId="6" type="noConversion"/>
  </si>
  <si>
    <r>
      <t>数据查询路径：</t>
    </r>
    <r>
      <rPr>
        <sz val="10"/>
        <rFont val="Calibri"/>
        <family val="2"/>
      </rPr>
      <t>RDD</t>
    </r>
    <r>
      <rPr>
        <sz val="10"/>
        <rFont val="宋体"/>
        <family val="3"/>
        <charset val="134"/>
      </rPr>
      <t>→材料测试管理→项目样品申请单查询：</t>
    </r>
    <r>
      <rPr>
        <sz val="10"/>
        <rFont val="Calibri"/>
        <family val="2"/>
      </rPr>
      <t>Real Density</t>
    </r>
    <phoneticPr fontId="6" type="noConversion"/>
  </si>
  <si>
    <t>Cathode Binder</t>
    <phoneticPr fontId="5" type="noConversion"/>
  </si>
  <si>
    <t>Anode Binder</t>
    <phoneticPr fontId="5" type="noConversion"/>
  </si>
  <si>
    <t>导电碳</t>
    <phoneticPr fontId="5" type="noConversion"/>
  </si>
  <si>
    <t>CMC</t>
    <phoneticPr fontId="5" type="noConversion"/>
  </si>
  <si>
    <t>CCS</t>
    <phoneticPr fontId="5" type="noConversion"/>
  </si>
  <si>
    <t>PCS</t>
    <phoneticPr fontId="5" type="noConversion"/>
  </si>
  <si>
    <r>
      <rPr>
        <sz val="10"/>
        <color theme="1"/>
        <rFont val="宋体"/>
        <family val="3"/>
        <charset val="134"/>
      </rPr>
      <t>氧化铝</t>
    </r>
    <r>
      <rPr>
        <sz val="10"/>
        <color theme="1"/>
        <rFont val="Calibri"/>
        <family val="2"/>
      </rPr>
      <t>3.9</t>
    </r>
    <r>
      <rPr>
        <sz val="10"/>
        <color theme="1"/>
        <rFont val="宋体"/>
        <family val="3"/>
        <charset val="134"/>
      </rPr>
      <t>，勃姆石</t>
    </r>
    <r>
      <rPr>
        <sz val="10"/>
        <color theme="1"/>
        <rFont val="Calibri"/>
        <family val="2"/>
      </rPr>
      <t>3.076</t>
    </r>
    <phoneticPr fontId="5" type="noConversion"/>
  </si>
  <si>
    <t>CCS(勃姆石)</t>
  </si>
  <si>
    <t>凸字型软连接</t>
    <phoneticPr fontId="6" type="noConversion"/>
  </si>
  <si>
    <t>顶盖</t>
    <phoneticPr fontId="5" type="noConversion"/>
  </si>
  <si>
    <t>蓝膜厚度</t>
    <phoneticPr fontId="6" type="noConversion"/>
  </si>
  <si>
    <t>梯形软连接L3=0</t>
    <phoneticPr fontId="6" type="noConversion"/>
  </si>
  <si>
    <t>L1=L2</t>
    <phoneticPr fontId="6" type="noConversion"/>
  </si>
  <si>
    <t>残空间计算</t>
    <phoneticPr fontId="5" type="noConversion"/>
  </si>
  <si>
    <t>机械件参数</t>
    <phoneticPr fontId="6" type="noConversion"/>
  </si>
  <si>
    <r>
      <rPr>
        <sz val="10"/>
        <color theme="1"/>
        <rFont val="宋体"/>
        <family val="3"/>
        <charset val="134"/>
      </rPr>
      <t>做粗略计算</t>
    </r>
  </si>
  <si>
    <r>
      <rPr>
        <sz val="10"/>
        <color theme="1"/>
        <rFont val="宋体"/>
        <family val="3"/>
        <charset val="134"/>
      </rPr>
      <t>新</t>
    </r>
    <r>
      <rPr>
        <sz val="10"/>
        <color theme="1"/>
        <rFont val="Calibri"/>
        <family val="2"/>
      </rPr>
      <t>model(</t>
    </r>
    <r>
      <rPr>
        <sz val="10"/>
        <color theme="1"/>
        <rFont val="宋体"/>
        <family val="3"/>
        <charset val="134"/>
      </rPr>
      <t>尚无精确参数的</t>
    </r>
    <r>
      <rPr>
        <sz val="10"/>
        <color theme="1"/>
        <rFont val="Calibri"/>
        <family val="2"/>
      </rPr>
      <t>)</t>
    </r>
    <r>
      <rPr>
        <sz val="10"/>
        <color theme="1"/>
        <rFont val="宋体"/>
        <family val="3"/>
        <charset val="134"/>
      </rPr>
      <t>，选用外形接近的</t>
    </r>
    <r>
      <rPr>
        <sz val="10"/>
        <color theme="1"/>
        <rFont val="Calibri"/>
        <family val="2"/>
      </rPr>
      <t>model</t>
    </r>
    <r>
      <rPr>
        <sz val="10"/>
        <color theme="1"/>
        <rFont val="宋体"/>
        <family val="3"/>
        <charset val="134"/>
      </rPr>
      <t>：</t>
    </r>
    <phoneticPr fontId="6" type="noConversion"/>
  </si>
  <si>
    <t>注意：仅通过外形等比例缩放法估算，在顶盖结构差异比较大时精度会降低，需留意！</t>
    <phoneticPr fontId="6" type="noConversion"/>
  </si>
  <si>
    <t>阳极</t>
    <phoneticPr fontId="6" type="noConversion"/>
  </si>
  <si>
    <t>阴极</t>
    <phoneticPr fontId="6" type="noConversion"/>
  </si>
  <si>
    <t>隔离膜</t>
    <phoneticPr fontId="6" type="noConversion"/>
  </si>
  <si>
    <t>Cathode Layers</t>
    <phoneticPr fontId="5" type="noConversion"/>
  </si>
  <si>
    <r>
      <rPr>
        <sz val="10"/>
        <color theme="1"/>
        <rFont val="微软雅黑"/>
        <family val="2"/>
        <charset val="134"/>
      </rPr>
      <t>电芯肩度</t>
    </r>
    <r>
      <rPr>
        <sz val="10"/>
        <color theme="1"/>
        <rFont val="Calibri"/>
        <family val="2"/>
      </rPr>
      <t>(</t>
    </r>
    <r>
      <rPr>
        <sz val="10"/>
        <color theme="1"/>
        <rFont val="微软雅黑"/>
        <family val="2"/>
        <charset val="134"/>
      </rPr>
      <t>主体高度</t>
    </r>
    <r>
      <rPr>
        <sz val="10"/>
        <color theme="1"/>
        <rFont val="Calibri"/>
        <family val="2"/>
      </rPr>
      <t>,mm)</t>
    </r>
    <phoneticPr fontId="6" type="noConversion"/>
  </si>
  <si>
    <r>
      <rPr>
        <sz val="10"/>
        <color rgb="FF000000"/>
        <rFont val="宋体"/>
        <family val="3"/>
        <charset val="134"/>
      </rPr>
      <t>充电</t>
    </r>
    <r>
      <rPr>
        <sz val="10"/>
        <color rgb="FF000000"/>
        <rFont val="Calibri"/>
        <family val="2"/>
      </rPr>
      <t>Cell Balance</t>
    </r>
    <phoneticPr fontId="6" type="noConversion"/>
  </si>
  <si>
    <r>
      <t>Cell Weight</t>
    </r>
    <r>
      <rPr>
        <sz val="10"/>
        <color rgb="FF000000"/>
        <rFont val="微软雅黑"/>
        <family val="2"/>
        <charset val="134"/>
      </rPr>
      <t>，</t>
    </r>
    <r>
      <rPr>
        <sz val="10"/>
        <color rgb="FF000000"/>
        <rFont val="Calibri"/>
        <family val="2"/>
      </rPr>
      <t>kg</t>
    </r>
    <phoneticPr fontId="6" type="noConversion"/>
  </si>
  <si>
    <r>
      <t>Min. capacity, Ah @ 1C, 25</t>
    </r>
    <r>
      <rPr>
        <sz val="10"/>
        <color rgb="FF000000"/>
        <rFont val="微软雅黑"/>
        <family val="2"/>
        <charset val="134"/>
      </rPr>
      <t>℃</t>
    </r>
    <phoneticPr fontId="6" type="noConversion"/>
  </si>
  <si>
    <t>群裕度</t>
    <phoneticPr fontId="6" type="noConversion"/>
  </si>
  <si>
    <r>
      <rPr>
        <sz val="10"/>
        <color rgb="FF000000"/>
        <rFont val="微软雅黑"/>
        <family val="2"/>
        <charset val="134"/>
      </rPr>
      <t>电芯厚度</t>
    </r>
    <r>
      <rPr>
        <sz val="10"/>
        <color rgb="FF000000"/>
        <rFont val="Calibri"/>
        <family val="2"/>
      </rPr>
      <t>,mm</t>
    </r>
    <phoneticPr fontId="6" type="noConversion"/>
  </si>
  <si>
    <r>
      <rPr>
        <sz val="10"/>
        <color theme="1"/>
        <rFont val="微软雅黑"/>
        <family val="2"/>
        <charset val="134"/>
      </rPr>
      <t>电芯宽度</t>
    </r>
    <r>
      <rPr>
        <sz val="10"/>
        <color theme="1"/>
        <rFont val="Calibri"/>
        <family val="2"/>
      </rPr>
      <t>,mm</t>
    </r>
    <phoneticPr fontId="6" type="noConversion"/>
  </si>
  <si>
    <t>热压前</t>
    <phoneticPr fontId="6" type="noConversion"/>
  </si>
  <si>
    <t>热压后</t>
    <phoneticPr fontId="6" type="noConversion"/>
  </si>
  <si>
    <r>
      <rPr>
        <sz val="10"/>
        <color rgb="FF000000"/>
        <rFont val="微软雅黑"/>
        <family val="2"/>
        <charset val="134"/>
      </rPr>
      <t>极片长度</t>
    </r>
    <r>
      <rPr>
        <sz val="10"/>
        <color rgb="FF000000"/>
        <rFont val="Calibri"/>
        <family val="2"/>
      </rPr>
      <t>@</t>
    </r>
    <r>
      <rPr>
        <sz val="10"/>
        <color rgb="FF000000"/>
        <rFont val="微软雅黑"/>
        <family val="2"/>
        <charset val="134"/>
      </rPr>
      <t>卷绕</t>
    </r>
    <r>
      <rPr>
        <sz val="10"/>
        <color rgb="FF000000"/>
        <rFont val="Calibri"/>
        <family val="2"/>
      </rPr>
      <t>,mm</t>
    </r>
    <phoneticPr fontId="6" type="noConversion"/>
  </si>
  <si>
    <r>
      <t>AT9</t>
    </r>
    <r>
      <rPr>
        <sz val="10"/>
        <rFont val="宋体"/>
        <family val="3"/>
        <charset val="134"/>
      </rPr>
      <t>上膜片</t>
    </r>
  </si>
  <si>
    <r>
      <rPr>
        <sz val="10"/>
        <rFont val="宋体"/>
        <family val="3"/>
        <charset val="134"/>
      </rPr>
      <t>基材总宽</t>
    </r>
    <phoneticPr fontId="5" type="noConversion"/>
  </si>
  <si>
    <r>
      <rPr>
        <sz val="11"/>
        <color theme="1"/>
        <rFont val="宋体"/>
        <family val="3"/>
        <charset val="134"/>
      </rPr>
      <t>第三层相比于第一层，中间隔了</t>
    </r>
    <r>
      <rPr>
        <sz val="11"/>
        <color theme="1"/>
        <rFont val="Calibri"/>
        <family val="2"/>
      </rPr>
      <t>2</t>
    </r>
    <r>
      <rPr>
        <sz val="11"/>
        <color theme="1"/>
        <rFont val="宋体"/>
        <family val="3"/>
        <charset val="134"/>
      </rPr>
      <t>层隔离膜，</t>
    </r>
    <r>
      <rPr>
        <sz val="11"/>
        <color theme="1"/>
        <rFont val="Calibri"/>
        <family val="2"/>
      </rPr>
      <t>1</t>
    </r>
    <r>
      <rPr>
        <sz val="11"/>
        <color theme="1"/>
        <rFont val="宋体"/>
        <family val="3"/>
        <charset val="134"/>
      </rPr>
      <t>层阴极和</t>
    </r>
    <r>
      <rPr>
        <sz val="11"/>
        <color theme="1"/>
        <rFont val="Calibri"/>
        <family val="2"/>
      </rPr>
      <t>1</t>
    </r>
    <r>
      <rPr>
        <sz val="11"/>
        <color theme="1"/>
        <rFont val="宋体"/>
        <family val="3"/>
        <charset val="134"/>
      </rPr>
      <t>层阳极。长度增加</t>
    </r>
    <r>
      <rPr>
        <sz val="11"/>
        <color theme="1"/>
        <rFont val="Calibri"/>
        <family val="2"/>
      </rPr>
      <t>π*</t>
    </r>
    <r>
      <rPr>
        <sz val="11"/>
        <color theme="1"/>
        <rFont val="宋体"/>
        <family val="3"/>
        <charset val="134"/>
      </rPr>
      <t>（</t>
    </r>
    <r>
      <rPr>
        <sz val="11"/>
        <color theme="1"/>
        <rFont val="Calibri"/>
        <family val="2"/>
      </rPr>
      <t>2</t>
    </r>
    <r>
      <rPr>
        <sz val="11"/>
        <color theme="1"/>
        <rFont val="宋体"/>
        <family val="3"/>
        <charset val="134"/>
      </rPr>
      <t>层隔离膜厚度</t>
    </r>
    <r>
      <rPr>
        <sz val="11"/>
        <color theme="1"/>
        <rFont val="Calibri"/>
        <family val="2"/>
      </rPr>
      <t>+1</t>
    </r>
    <r>
      <rPr>
        <sz val="11"/>
        <color theme="1"/>
        <rFont val="宋体"/>
        <family val="3"/>
        <charset val="134"/>
      </rPr>
      <t>层阴极厚度</t>
    </r>
    <r>
      <rPr>
        <sz val="11"/>
        <color theme="1"/>
        <rFont val="Calibri"/>
        <family val="2"/>
      </rPr>
      <t>+1</t>
    </r>
    <r>
      <rPr>
        <sz val="11"/>
        <color theme="1"/>
        <rFont val="宋体"/>
        <family val="3"/>
        <charset val="134"/>
      </rPr>
      <t>层阳极厚度），该数值可作为标准增长量，每圈增加一次；该方法同样适用于阴极长度</t>
    </r>
    <r>
      <rPr>
        <sz val="11"/>
        <color theme="1"/>
        <rFont val="Calibri"/>
        <family val="2"/>
      </rPr>
      <t>(</t>
    </r>
    <r>
      <rPr>
        <sz val="11"/>
        <color theme="1"/>
        <rFont val="宋体"/>
        <family val="3"/>
        <charset val="134"/>
      </rPr>
      <t>略有不同之处：卷绕半径多了一层隔膜一层阳极</t>
    </r>
    <r>
      <rPr>
        <sz val="11"/>
        <color theme="1"/>
        <rFont val="Calibri"/>
        <family val="2"/>
      </rPr>
      <t>)&amp;</t>
    </r>
    <r>
      <rPr>
        <sz val="11"/>
        <color theme="1"/>
        <rFont val="宋体"/>
        <family val="3"/>
        <charset val="134"/>
      </rPr>
      <t>隔离膜长度等的计算；</t>
    </r>
    <phoneticPr fontId="6" type="noConversion"/>
  </si>
  <si>
    <r>
      <rPr>
        <b/>
        <sz val="9"/>
        <color theme="1"/>
        <rFont val="宋体"/>
        <family val="3"/>
        <charset val="134"/>
      </rPr>
      <t>方形软连接</t>
    </r>
    <r>
      <rPr>
        <b/>
        <sz val="9"/>
        <color theme="1"/>
        <rFont val="Calibri"/>
        <family val="2"/>
      </rPr>
      <t>L3=0</t>
    </r>
    <phoneticPr fontId="6" type="noConversion"/>
  </si>
  <si>
    <t>g/m2</t>
    <phoneticPr fontId="6" type="noConversion"/>
  </si>
  <si>
    <r>
      <rPr>
        <sz val="10"/>
        <color theme="1"/>
        <rFont val="宋体"/>
        <family val="3"/>
        <charset val="134"/>
      </rPr>
      <t>取</t>
    </r>
    <r>
      <rPr>
        <sz val="10"/>
        <color theme="1"/>
        <rFont val="Calibri"/>
        <family val="2"/>
      </rPr>
      <t>GPK010</t>
    </r>
    <r>
      <rPr>
        <sz val="10"/>
        <color theme="1"/>
        <rFont val="宋体"/>
        <family val="3"/>
        <charset val="134"/>
      </rPr>
      <t>的真密度；双面厚度≥</t>
    </r>
    <r>
      <rPr>
        <sz val="10"/>
        <color theme="1"/>
        <rFont val="Calibri"/>
        <family val="2"/>
      </rPr>
      <t>12um</t>
    </r>
    <r>
      <rPr>
        <sz val="10"/>
        <color theme="1"/>
        <rFont val="宋体"/>
        <family val="3"/>
        <charset val="134"/>
      </rPr>
      <t>时默认为</t>
    </r>
    <r>
      <rPr>
        <sz val="10"/>
        <color theme="1"/>
        <rFont val="Calibri"/>
        <family val="2"/>
      </rPr>
      <t>2.5mg</t>
    </r>
    <r>
      <rPr>
        <sz val="10"/>
        <color theme="1"/>
        <rFont val="宋体"/>
        <family val="3"/>
        <charset val="134"/>
      </rPr>
      <t>，否则默认为</t>
    </r>
    <r>
      <rPr>
        <sz val="10"/>
        <color theme="1"/>
        <rFont val="Calibri"/>
        <family val="2"/>
      </rPr>
      <t>1.5mg</t>
    </r>
    <phoneticPr fontId="5" type="noConversion"/>
  </si>
  <si>
    <r>
      <t xml:space="preserve">PCS </t>
    </r>
    <r>
      <rPr>
        <sz val="12"/>
        <color theme="1"/>
        <rFont val="宋体"/>
        <family val="3"/>
        <charset val="134"/>
      </rPr>
      <t>（</t>
    </r>
    <r>
      <rPr>
        <sz val="12"/>
        <color theme="1"/>
        <rFont val="Calibri"/>
        <family val="2"/>
      </rPr>
      <t>JR</t>
    </r>
    <r>
      <rPr>
        <sz val="12"/>
        <color theme="1"/>
        <rFont val="宋体"/>
        <family val="3"/>
        <charset val="134"/>
      </rPr>
      <t>大面）</t>
    </r>
    <phoneticPr fontId="6" type="noConversion"/>
  </si>
  <si>
    <t>length
(mm)</t>
    <phoneticPr fontId="5" type="noConversion"/>
  </si>
  <si>
    <r>
      <rPr>
        <sz val="10"/>
        <color theme="1" tint="4.9989318521683403E-2"/>
        <rFont val="宋体"/>
        <family val="3"/>
        <charset val="134"/>
      </rPr>
      <t>注</t>
    </r>
    <r>
      <rPr>
        <sz val="10"/>
        <color theme="1" tint="4.9989318521683403E-2"/>
        <rFont val="Arial"/>
        <family val="2"/>
      </rPr>
      <t>1</t>
    </r>
    <r>
      <rPr>
        <sz val="10"/>
        <color theme="1" tint="4.9989318521683403E-2"/>
        <rFont val="宋体"/>
        <family val="3"/>
        <charset val="134"/>
      </rPr>
      <t>：极片重量核算时忽略上极耳膜料，</t>
    </r>
    <r>
      <rPr>
        <sz val="10"/>
        <color theme="1" tint="4.9989318521683403E-2"/>
        <rFont val="Arial"/>
        <family val="2"/>
      </rPr>
      <t>AT9</t>
    </r>
    <r>
      <rPr>
        <sz val="10"/>
        <color theme="1" tint="4.9989318521683403E-2"/>
        <rFont val="宋体"/>
        <family val="3"/>
        <charset val="134"/>
      </rPr>
      <t>按正常膜计算</t>
    </r>
    <phoneticPr fontId="6" type="noConversion"/>
  </si>
  <si>
    <r>
      <rPr>
        <sz val="10"/>
        <color theme="1" tint="4.9989318521683403E-2"/>
        <rFont val="宋体"/>
        <family val="3"/>
        <charset val="134"/>
      </rPr>
      <t>注</t>
    </r>
    <r>
      <rPr>
        <sz val="10"/>
        <color theme="1" tint="4.9989318521683403E-2"/>
        <rFont val="Calibri"/>
        <family val="2"/>
      </rPr>
      <t>2</t>
    </r>
    <r>
      <rPr>
        <sz val="10"/>
        <color theme="1" tint="4.9989318521683403E-2"/>
        <rFont val="宋体"/>
        <family val="3"/>
        <charset val="134"/>
      </rPr>
      <t>：</t>
    </r>
    <r>
      <rPr>
        <sz val="10"/>
        <color theme="1" tint="4.9989318521683403E-2"/>
        <rFont val="Calibri"/>
        <family val="2"/>
      </rPr>
      <t>JR</t>
    </r>
    <r>
      <rPr>
        <sz val="10"/>
        <color theme="1" tint="4.9989318521683403E-2"/>
        <rFont val="宋体"/>
        <family val="3"/>
        <charset val="134"/>
      </rPr>
      <t>的计算涉及乘法过程，按最</t>
    </r>
    <r>
      <rPr>
        <sz val="10"/>
        <color theme="1" tint="4.9989318521683403E-2"/>
        <rFont val="Calibri"/>
        <family val="2"/>
      </rPr>
      <t>worst</t>
    </r>
    <r>
      <rPr>
        <sz val="10"/>
        <color theme="1" tint="4.9989318521683403E-2"/>
        <rFont val="宋体"/>
        <family val="3"/>
        <charset val="134"/>
      </rPr>
      <t>的情况计算</t>
    </r>
    <phoneticPr fontId="6" type="noConversion"/>
  </si>
  <si>
    <r>
      <rPr>
        <sz val="11"/>
        <color theme="1"/>
        <rFont val="宋体"/>
        <family val="3"/>
        <charset val="134"/>
      </rPr>
      <t>第一层的阳极长度为首圈周长的一半</t>
    </r>
    <r>
      <rPr>
        <sz val="11"/>
        <color theme="1"/>
        <rFont val="宋体"/>
        <family val="3"/>
        <charset val="134"/>
      </rPr>
      <t>减去阳极距离底部距离，第二层等于首圈周长的一半</t>
    </r>
    <phoneticPr fontId="6" type="noConversion"/>
  </si>
  <si>
    <t>是</t>
  </si>
  <si>
    <t>焊接工艺输入</t>
    <phoneticPr fontId="6" type="noConversion"/>
  </si>
  <si>
    <t>极耳中心距错位</t>
    <phoneticPr fontId="6" type="noConversion"/>
  </si>
  <si>
    <t>内偏限制条件</t>
    <phoneticPr fontId="6" type="noConversion"/>
  </si>
  <si>
    <t>外偏限制条件</t>
    <phoneticPr fontId="6" type="noConversion"/>
  </si>
  <si>
    <t>判定条件输入</t>
    <phoneticPr fontId="6" type="noConversion"/>
  </si>
  <si>
    <r>
      <rPr>
        <sz val="9"/>
        <color theme="1"/>
        <rFont val="宋体"/>
        <family val="3"/>
        <charset val="134"/>
      </rPr>
      <t>软连接</t>
    </r>
    <phoneticPr fontId="6" type="noConversion"/>
  </si>
  <si>
    <r>
      <rPr>
        <sz val="9"/>
        <color theme="1"/>
        <rFont val="宋体"/>
        <family val="3"/>
        <charset val="134"/>
      </rPr>
      <t>极耳超软连接</t>
    </r>
    <phoneticPr fontId="6" type="noConversion"/>
  </si>
  <si>
    <r>
      <rPr>
        <sz val="9"/>
        <color theme="1"/>
        <rFont val="宋体"/>
        <family val="3"/>
        <charset val="134"/>
      </rPr>
      <t>最大错位时</t>
    </r>
    <phoneticPr fontId="6" type="noConversion"/>
  </si>
  <si>
    <r>
      <rPr>
        <b/>
        <sz val="11"/>
        <color theme="1"/>
        <rFont val="宋体"/>
        <family val="3"/>
        <charset val="134"/>
      </rPr>
      <t>超声焊是否</t>
    </r>
    <r>
      <rPr>
        <b/>
        <sz val="11"/>
        <color theme="1"/>
        <rFont val="Calibri"/>
        <family val="2"/>
      </rPr>
      <t>Ok</t>
    </r>
    <phoneticPr fontId="6" type="noConversion"/>
  </si>
  <si>
    <r>
      <rPr>
        <sz val="9"/>
        <color theme="1"/>
        <rFont val="宋体"/>
        <family val="3"/>
        <charset val="134"/>
      </rPr>
      <t>是否</t>
    </r>
    <r>
      <rPr>
        <sz val="9"/>
        <color theme="1"/>
        <rFont val="Calibri"/>
        <family val="2"/>
      </rPr>
      <t>ok</t>
    </r>
    <phoneticPr fontId="6" type="noConversion"/>
  </si>
  <si>
    <r>
      <rPr>
        <b/>
        <sz val="11"/>
        <color theme="1"/>
        <rFont val="宋体"/>
        <family val="3"/>
        <charset val="134"/>
      </rPr>
      <t>向内偏是否</t>
    </r>
    <r>
      <rPr>
        <b/>
        <sz val="11"/>
        <color theme="1"/>
        <rFont val="Calibri"/>
        <family val="2"/>
      </rPr>
      <t>Ok</t>
    </r>
    <phoneticPr fontId="6" type="noConversion"/>
  </si>
  <si>
    <r>
      <rPr>
        <b/>
        <sz val="11"/>
        <color theme="1"/>
        <rFont val="宋体"/>
        <family val="3"/>
        <charset val="134"/>
      </rPr>
      <t>向外偏是否</t>
    </r>
    <r>
      <rPr>
        <b/>
        <sz val="11"/>
        <color theme="1"/>
        <rFont val="Calibri"/>
        <family val="2"/>
      </rPr>
      <t>Ok</t>
    </r>
    <phoneticPr fontId="6" type="noConversion"/>
  </si>
  <si>
    <t>下塑胶内宽</t>
    <phoneticPr fontId="6" type="noConversion"/>
  </si>
  <si>
    <t>顶盖下塑胶内宽</t>
    <phoneticPr fontId="5" type="noConversion"/>
  </si>
  <si>
    <t>顶盖下塑胶内宽</t>
    <phoneticPr fontId="6" type="noConversion"/>
  </si>
  <si>
    <t>不能超过下塑胶内宽</t>
  </si>
  <si>
    <t>不能超过下塑胶</t>
    <phoneticPr fontId="6" type="noConversion"/>
  </si>
  <si>
    <t>La</t>
    <phoneticPr fontId="6" type="noConversion"/>
  </si>
  <si>
    <t>极耳与软连接重叠区</t>
    <phoneticPr fontId="6" type="noConversion"/>
  </si>
  <si>
    <t>下塑胶间距</t>
    <phoneticPr fontId="6" type="noConversion"/>
  </si>
  <si>
    <t>下塑胶间距</t>
    <phoneticPr fontId="6" type="noConversion"/>
  </si>
  <si>
    <t>防爆片宽度(顶盖宽度方向尺寸)</t>
    <phoneticPr fontId="6" type="noConversion"/>
  </si>
  <si>
    <t>防爆片宽</t>
    <phoneticPr fontId="6" type="noConversion"/>
  </si>
  <si>
    <r>
      <rPr>
        <sz val="8"/>
        <rFont val="宋体"/>
        <family val="3"/>
        <charset val="134"/>
      </rPr>
      <t>注意：</t>
    </r>
    <r>
      <rPr>
        <sz val="8"/>
        <rFont val="Calibri"/>
        <family val="2"/>
      </rPr>
      <t>PCS</t>
    </r>
    <r>
      <rPr>
        <sz val="8"/>
        <rFont val="宋体"/>
        <family val="3"/>
        <charset val="134"/>
      </rPr>
      <t>厚度加在隔离摸厚度里，</t>
    </r>
    <r>
      <rPr>
        <sz val="8"/>
        <rFont val="Calibri"/>
        <family val="2"/>
      </rPr>
      <t>Pattern</t>
    </r>
    <r>
      <rPr>
        <sz val="8"/>
        <rFont val="宋体"/>
        <family val="3"/>
        <charset val="134"/>
      </rPr>
      <t>厚度加在阴极里；是否热压对</t>
    </r>
    <r>
      <rPr>
        <sz val="8"/>
        <rFont val="Calibri"/>
        <family val="2"/>
      </rPr>
      <t>PCS</t>
    </r>
    <r>
      <rPr>
        <sz val="8"/>
        <rFont val="宋体"/>
        <family val="3"/>
        <charset val="134"/>
      </rPr>
      <t>和</t>
    </r>
    <r>
      <rPr>
        <sz val="8"/>
        <rFont val="Calibri"/>
        <family val="2"/>
      </rPr>
      <t>Pattern</t>
    </r>
    <r>
      <rPr>
        <sz val="8"/>
        <rFont val="宋体"/>
        <family val="3"/>
        <charset val="134"/>
      </rPr>
      <t>的厚度影响明显，故需区别对待常规热压和方形热压</t>
    </r>
    <phoneticPr fontId="6" type="noConversion"/>
  </si>
  <si>
    <r>
      <t>JR</t>
    </r>
    <r>
      <rPr>
        <sz val="8"/>
        <rFont val="宋体"/>
        <family val="3"/>
        <charset val="134"/>
      </rPr>
      <t>单侧包</t>
    </r>
    <r>
      <rPr>
        <sz val="8"/>
        <rFont val="Calibri"/>
        <family val="2"/>
      </rPr>
      <t>Mylar</t>
    </r>
    <r>
      <rPr>
        <sz val="8"/>
        <rFont val="宋体"/>
        <family val="3"/>
        <charset val="134"/>
      </rPr>
      <t>层数</t>
    </r>
    <phoneticPr fontId="6" type="noConversion"/>
  </si>
  <si>
    <t>极耳根部内间距</t>
    <phoneticPr fontId="6" type="noConversion"/>
  </si>
  <si>
    <t>极耳底部</t>
    <phoneticPr fontId="6" type="noConversion"/>
  </si>
  <si>
    <t>内间距@最大偏移</t>
    <phoneticPr fontId="6" type="noConversion"/>
  </si>
  <si>
    <t>外间距@设计值</t>
    <phoneticPr fontId="6" type="noConversion"/>
  </si>
  <si>
    <t>外间距@最大偏移</t>
    <phoneticPr fontId="6" type="noConversion"/>
  </si>
  <si>
    <t>内间距@设计</t>
    <phoneticPr fontId="6" type="noConversion"/>
  </si>
  <si>
    <t>Mean</t>
    <phoneticPr fontId="6" type="noConversion"/>
  </si>
  <si>
    <r>
      <rPr>
        <sz val="9"/>
        <color theme="1"/>
        <rFont val="宋体"/>
        <family val="3"/>
        <charset val="134"/>
      </rPr>
      <t>极耳内间距</t>
    </r>
    <r>
      <rPr>
        <sz val="9"/>
        <color theme="1"/>
        <rFont val="Calibri"/>
        <family val="2"/>
      </rPr>
      <t xml:space="preserve">-
</t>
    </r>
    <r>
      <rPr>
        <sz val="9"/>
        <color theme="1"/>
        <rFont val="宋体"/>
        <family val="3"/>
        <charset val="134"/>
      </rPr>
      <t>下塑胶间距</t>
    </r>
    <r>
      <rPr>
        <sz val="9"/>
        <color theme="1"/>
        <rFont val="Calibri"/>
        <family val="2"/>
      </rPr>
      <t>/</t>
    </r>
    <r>
      <rPr>
        <sz val="9"/>
        <color theme="1"/>
        <rFont val="宋体"/>
        <family val="3"/>
        <charset val="134"/>
      </rPr>
      <t>防爆片宽度</t>
    </r>
    <phoneticPr fontId="6" type="noConversion"/>
  </si>
  <si>
    <r>
      <rPr>
        <sz val="9"/>
        <color theme="1"/>
        <rFont val="宋体"/>
        <family val="3"/>
        <charset val="134"/>
      </rPr>
      <t>下塑胶内宽</t>
    </r>
    <r>
      <rPr>
        <sz val="9"/>
        <color theme="1"/>
        <rFont val="Calibri"/>
        <family val="2"/>
      </rPr>
      <t>/</t>
    </r>
    <r>
      <rPr>
        <sz val="9"/>
        <color theme="1"/>
        <rFont val="宋体"/>
        <family val="3"/>
        <charset val="134"/>
      </rPr>
      <t xml:space="preserve">两极柱宽度
</t>
    </r>
    <r>
      <rPr>
        <sz val="9"/>
        <color theme="1"/>
        <rFont val="Calibri"/>
        <family val="2"/>
      </rPr>
      <t>-</t>
    </r>
    <r>
      <rPr>
        <sz val="9"/>
        <color theme="1"/>
        <rFont val="宋体"/>
        <family val="3"/>
        <charset val="134"/>
      </rPr>
      <t>极耳外间距</t>
    </r>
    <phoneticPr fontId="6" type="noConversion"/>
  </si>
  <si>
    <r>
      <t xml:space="preserve">Output ----- </t>
    </r>
    <r>
      <rPr>
        <b/>
        <sz val="11"/>
        <rFont val="宋体"/>
        <family val="3"/>
        <charset val="134"/>
      </rPr>
      <t>电芯级别（容量</t>
    </r>
    <r>
      <rPr>
        <b/>
        <sz val="11"/>
        <rFont val="Calibri"/>
        <family val="2"/>
      </rPr>
      <t>ok</t>
    </r>
    <r>
      <rPr>
        <b/>
        <sz val="11"/>
        <rFont val="宋体"/>
        <family val="3"/>
        <charset val="134"/>
      </rPr>
      <t>？群裕度</t>
    </r>
    <r>
      <rPr>
        <b/>
        <sz val="11"/>
        <rFont val="Calibri"/>
        <family val="2"/>
      </rPr>
      <t>ok</t>
    </r>
    <r>
      <rPr>
        <b/>
        <sz val="11"/>
        <rFont val="宋体"/>
        <family val="3"/>
        <charset val="134"/>
      </rPr>
      <t>？残空间</t>
    </r>
    <r>
      <rPr>
        <b/>
        <sz val="11"/>
        <rFont val="Calibri"/>
        <family val="2"/>
      </rPr>
      <t>ok</t>
    </r>
    <r>
      <rPr>
        <b/>
        <sz val="11"/>
        <rFont val="宋体"/>
        <family val="3"/>
        <charset val="134"/>
      </rPr>
      <t>？）</t>
    </r>
    <phoneticPr fontId="5" type="noConversion"/>
  </si>
  <si>
    <t>常规热压群裕度过大时，可考虑使用方形热压改善，根据右表判断</t>
    <phoneticPr fontId="6" type="noConversion"/>
  </si>
  <si>
    <t>注：宽度方向群裕度减去了卷针宽度，与厚度方向的群裕度定义略有不同</t>
    <phoneticPr fontId="6" type="noConversion"/>
  </si>
  <si>
    <r>
      <rPr>
        <sz val="8"/>
        <rFont val="宋体"/>
        <family val="3"/>
        <charset val="134"/>
      </rPr>
      <t>群裕度</t>
    </r>
    <r>
      <rPr>
        <sz val="8"/>
        <rFont val="Calibri"/>
        <family val="2"/>
      </rPr>
      <t xml:space="preserve">_
</t>
    </r>
    <r>
      <rPr>
        <sz val="8"/>
        <color rgb="FFFF0000"/>
        <rFont val="宋体"/>
        <family val="3"/>
        <charset val="134"/>
      </rPr>
      <t>厚度方向</t>
    </r>
    <phoneticPr fontId="5" type="noConversion"/>
  </si>
  <si>
    <r>
      <rPr>
        <sz val="8"/>
        <rFont val="宋体"/>
        <family val="3"/>
        <charset val="134"/>
      </rPr>
      <t>群裕度</t>
    </r>
    <r>
      <rPr>
        <sz val="8"/>
        <rFont val="Calibri"/>
        <family val="2"/>
      </rPr>
      <t xml:space="preserve">_
</t>
    </r>
    <r>
      <rPr>
        <sz val="8"/>
        <color rgb="FFFF0000"/>
        <rFont val="宋体"/>
        <family val="3"/>
        <charset val="134"/>
      </rPr>
      <t>宽度方向</t>
    </r>
    <phoneticPr fontId="5" type="noConversion"/>
  </si>
  <si>
    <r>
      <rPr>
        <sz val="10"/>
        <rFont val="宋体"/>
        <family val="3"/>
        <charset val="134"/>
      </rPr>
      <t>电芯外观总体积</t>
    </r>
    <r>
      <rPr>
        <sz val="10"/>
        <rFont val="Calibri"/>
        <family val="2"/>
      </rPr>
      <t>(</t>
    </r>
    <r>
      <rPr>
        <sz val="10"/>
        <rFont val="宋体"/>
        <family val="3"/>
        <charset val="134"/>
      </rPr>
      <t>不含外极柱、蓝膜</t>
    </r>
    <r>
      <rPr>
        <sz val="10"/>
        <rFont val="Calibri"/>
        <family val="2"/>
      </rPr>
      <t>)</t>
    </r>
    <phoneticPr fontId="5" type="noConversion"/>
  </si>
  <si>
    <t>24163-绝缘托板（PP 板)</t>
    <phoneticPr fontId="5" type="noConversion"/>
  </si>
  <si>
    <r>
      <t>AT9</t>
    </r>
    <r>
      <rPr>
        <sz val="10"/>
        <rFont val="宋体"/>
        <family val="3"/>
        <charset val="134"/>
      </rPr>
      <t>保留宽度</t>
    </r>
    <phoneticPr fontId="5" type="noConversion"/>
  </si>
  <si>
    <t>建议调整与阳极等宽</t>
    <phoneticPr fontId="5" type="noConversion"/>
  </si>
  <si>
    <t>默认不能超出隔膜</t>
    <phoneticPr fontId="5" type="noConversion"/>
  </si>
  <si>
    <t>建议卷针宽度</t>
    <phoneticPr fontId="6" type="noConversion"/>
  </si>
  <si>
    <r>
      <t>AT9</t>
    </r>
    <r>
      <rPr>
        <sz val="10"/>
        <rFont val="宋体"/>
        <family val="3"/>
        <charset val="134"/>
      </rPr>
      <t>上极耳</t>
    </r>
    <phoneticPr fontId="5" type="noConversion"/>
  </si>
  <si>
    <t>JR Gap from PCS &amp; Pattern</t>
    <phoneticPr fontId="6" type="noConversion"/>
  </si>
  <si>
    <t>默认宽度方向的膨胀率与厚度方向的相同，寿命过程中JR宽度方向不能先于厚度方向顶壳</t>
    <phoneticPr fontId="6" type="noConversion"/>
  </si>
  <si>
    <t>方形热压的意义：当JR内部Gap＞极片膨胀量时，可用方形热压压缩多余空间，否则即使BOL实现了Gap挤压，但寿命过程中还是会膨胀变宽</t>
    <phoneticPr fontId="6" type="noConversion"/>
  </si>
  <si>
    <t>材料数据库</t>
    <phoneticPr fontId="6" type="noConversion"/>
  </si>
  <si>
    <t>机械件数据库</t>
    <phoneticPr fontId="6" type="noConversion"/>
  </si>
  <si>
    <t>模切尺寸</t>
    <phoneticPr fontId="6" type="noConversion"/>
  </si>
  <si>
    <t>Overhang</t>
    <phoneticPr fontId="6" type="noConversion"/>
  </si>
  <si>
    <r>
      <rPr>
        <sz val="8"/>
        <rFont val="宋体"/>
        <family val="3"/>
        <charset val="134"/>
      </rPr>
      <t>第7步：</t>
    </r>
    <r>
      <rPr>
        <sz val="10"/>
        <rFont val="宋体"/>
        <family val="3"/>
        <charset val="134"/>
      </rPr>
      <t/>
    </r>
    <phoneticPr fontId="6" type="noConversion"/>
  </si>
  <si>
    <t>极耳错位</t>
    <phoneticPr fontId="6" type="noConversion"/>
  </si>
  <si>
    <t xml:space="preserve">Seperator </t>
    <phoneticPr fontId="5" type="noConversion"/>
  </si>
  <si>
    <r>
      <rPr>
        <sz val="10"/>
        <rFont val="宋体"/>
        <family val="3"/>
        <charset val="134"/>
      </rPr>
      <t>扣电</t>
    </r>
    <r>
      <rPr>
        <sz val="10"/>
        <rFont val="Calibri"/>
        <family val="2"/>
      </rPr>
      <t xml:space="preserve">1st 
</t>
    </r>
    <r>
      <rPr>
        <sz val="10"/>
        <rFont val="宋体"/>
        <family val="3"/>
        <charset val="134"/>
      </rPr>
      <t>去程</t>
    </r>
    <r>
      <rPr>
        <sz val="10"/>
        <rFont val="Calibri"/>
        <family val="2"/>
      </rPr>
      <t xml:space="preserve"> Cap.(</t>
    </r>
    <r>
      <rPr>
        <sz val="10"/>
        <rFont val="宋体"/>
        <family val="3"/>
        <charset val="134"/>
      </rPr>
      <t>嵌锂</t>
    </r>
    <r>
      <rPr>
        <sz val="10"/>
        <rFont val="Calibri"/>
        <family val="2"/>
      </rPr>
      <t>)
(mAh/g)</t>
    </r>
    <phoneticPr fontId="5" type="noConversion"/>
  </si>
  <si>
    <r>
      <rPr>
        <sz val="10"/>
        <rFont val="宋体"/>
        <family val="3"/>
        <charset val="134"/>
      </rPr>
      <t>扣电</t>
    </r>
    <r>
      <rPr>
        <sz val="10"/>
        <rFont val="Calibri"/>
        <family val="2"/>
      </rPr>
      <t xml:space="preserve">1st 
</t>
    </r>
    <r>
      <rPr>
        <sz val="10"/>
        <rFont val="宋体"/>
        <family val="3"/>
        <charset val="134"/>
      </rPr>
      <t>回程</t>
    </r>
    <r>
      <rPr>
        <sz val="10"/>
        <rFont val="Calibri"/>
        <family val="2"/>
      </rPr>
      <t xml:space="preserve"> Cap.(</t>
    </r>
    <r>
      <rPr>
        <sz val="10"/>
        <rFont val="宋体"/>
        <family val="3"/>
        <charset val="134"/>
      </rPr>
      <t>脱锂</t>
    </r>
    <r>
      <rPr>
        <sz val="10"/>
        <rFont val="Calibri"/>
        <family val="2"/>
      </rPr>
      <t>)
(mAh/g)</t>
    </r>
    <phoneticPr fontId="5" type="noConversion"/>
  </si>
  <si>
    <r>
      <rPr>
        <sz val="8"/>
        <rFont val="宋体"/>
        <family val="3"/>
        <charset val="134"/>
      </rPr>
      <t>扣电</t>
    </r>
    <r>
      <rPr>
        <sz val="8"/>
        <rFont val="Calibri"/>
        <family val="2"/>
      </rPr>
      <t xml:space="preserve">1st 
</t>
    </r>
    <r>
      <rPr>
        <sz val="8"/>
        <rFont val="宋体"/>
        <family val="3"/>
        <charset val="134"/>
      </rPr>
      <t>去程</t>
    </r>
    <r>
      <rPr>
        <sz val="8"/>
        <rFont val="Calibri"/>
        <family val="2"/>
      </rPr>
      <t xml:space="preserve"> Cap.(</t>
    </r>
    <r>
      <rPr>
        <sz val="8"/>
        <rFont val="宋体"/>
        <family val="3"/>
        <charset val="134"/>
      </rPr>
      <t>脱锂</t>
    </r>
    <r>
      <rPr>
        <sz val="8"/>
        <rFont val="Calibri"/>
        <family val="2"/>
      </rPr>
      <t>)
(mAh/g)</t>
    </r>
    <phoneticPr fontId="5" type="noConversion"/>
  </si>
  <si>
    <r>
      <rPr>
        <sz val="8"/>
        <rFont val="宋体"/>
        <family val="3"/>
        <charset val="134"/>
      </rPr>
      <t>扣电</t>
    </r>
    <r>
      <rPr>
        <sz val="8"/>
        <rFont val="Calibri"/>
        <family val="2"/>
      </rPr>
      <t xml:space="preserve">1st 
</t>
    </r>
    <r>
      <rPr>
        <sz val="8"/>
        <rFont val="宋体"/>
        <family val="3"/>
        <charset val="134"/>
      </rPr>
      <t>回程</t>
    </r>
    <r>
      <rPr>
        <sz val="8"/>
        <rFont val="Calibri"/>
        <family val="2"/>
      </rPr>
      <t xml:space="preserve"> Cap.(</t>
    </r>
    <r>
      <rPr>
        <sz val="8"/>
        <rFont val="宋体"/>
        <family val="3"/>
        <charset val="134"/>
      </rPr>
      <t>嵌锂</t>
    </r>
    <r>
      <rPr>
        <sz val="8"/>
        <rFont val="Calibri"/>
        <family val="2"/>
      </rPr>
      <t>)
(mAh/g)</t>
    </r>
    <phoneticPr fontId="5" type="noConversion"/>
  </si>
  <si>
    <r>
      <t>AT9</t>
    </r>
    <r>
      <rPr>
        <sz val="10"/>
        <color theme="1"/>
        <rFont val="宋体"/>
        <family val="3"/>
        <charset val="134"/>
      </rPr>
      <t>在削薄区，忽略</t>
    </r>
    <phoneticPr fontId="6" type="noConversion"/>
  </si>
  <si>
    <r>
      <rPr>
        <sz val="10"/>
        <color theme="1"/>
        <rFont val="宋体"/>
        <family val="3"/>
        <charset val="134"/>
      </rPr>
      <t>取</t>
    </r>
    <r>
      <rPr>
        <sz val="10"/>
        <color theme="1"/>
        <rFont val="Calibri"/>
        <family val="2"/>
      </rPr>
      <t>SP</t>
    </r>
    <r>
      <rPr>
        <sz val="10"/>
        <color theme="1"/>
        <rFont val="宋体"/>
        <family val="3"/>
        <charset val="134"/>
      </rPr>
      <t>的真密度</t>
    </r>
    <phoneticPr fontId="5" type="noConversion"/>
  </si>
  <si>
    <r>
      <rPr>
        <sz val="8"/>
        <rFont val="宋体"/>
        <family val="3"/>
        <charset val="134"/>
      </rPr>
      <t xml:space="preserve">注液后残空间
</t>
    </r>
    <r>
      <rPr>
        <sz val="8"/>
        <rFont val="Calibri"/>
        <family val="2"/>
      </rPr>
      <t>@25</t>
    </r>
    <r>
      <rPr>
        <sz val="8"/>
        <rFont val="宋体"/>
        <family val="3"/>
        <charset val="134"/>
      </rPr>
      <t>℃</t>
    </r>
    <r>
      <rPr>
        <sz val="8"/>
        <rFont val="Calibri"/>
        <family val="2"/>
      </rPr>
      <t>(ml)</t>
    </r>
    <phoneticPr fontId="6" type="noConversion"/>
  </si>
  <si>
    <t>阴极单面区收尾时，隔离膜多卷小半圈收尾（注意阳极overhang）</t>
    <phoneticPr fontId="6" type="noConversion"/>
  </si>
  <si>
    <t>每层前后各加四分之一圆的长度（随内层增厚变化）,默认收尾位置均为最后一个半圆中心</t>
    <phoneticPr fontId="6" type="noConversion"/>
  </si>
  <si>
    <t>阳极收尾时多卷一圈遮住阴极,隔离膜多卷一圈包住阳极，再卷小半圈收尾</t>
    <phoneticPr fontId="6" type="noConversion"/>
  </si>
  <si>
    <t>阴、阳极长度计算：不同层数的交界在圆周中点,每层直线部分长度都等于卷针周长一半</t>
    <phoneticPr fontId="6" type="noConversion"/>
  </si>
  <si>
    <r>
      <t>AT9</t>
    </r>
    <r>
      <rPr>
        <sz val="10"/>
        <rFont val="宋体"/>
        <family val="3"/>
        <charset val="134"/>
      </rPr>
      <t>总宽</t>
    </r>
    <phoneticPr fontId="5" type="noConversion"/>
  </si>
  <si>
    <r>
      <t>AT9</t>
    </r>
    <r>
      <rPr>
        <sz val="10"/>
        <rFont val="宋体"/>
        <family val="3"/>
        <charset val="134"/>
      </rPr>
      <t>上极耳</t>
    </r>
    <phoneticPr fontId="5" type="noConversion"/>
  </si>
  <si>
    <t>孔隙率计算@化成后</t>
    <phoneticPr fontId="5" type="noConversion"/>
  </si>
  <si>
    <t>极耳中心距</t>
    <phoneticPr fontId="6" type="noConversion"/>
  </si>
  <si>
    <t>极耳中心距</t>
    <phoneticPr fontId="5" type="noConversion"/>
  </si>
  <si>
    <r>
      <t>AT9</t>
    </r>
    <r>
      <rPr>
        <sz val="10"/>
        <rFont val="宋体"/>
        <family val="3"/>
        <charset val="134"/>
      </rPr>
      <t>涂布宽</t>
    </r>
    <phoneticPr fontId="5" type="noConversion"/>
  </si>
  <si>
    <t>正式发布</t>
    <phoneticPr fontId="5" type="noConversion"/>
  </si>
  <si>
    <t>JR总空隙体积@化成后</t>
    <phoneticPr fontId="6" type="noConversion"/>
  </si>
  <si>
    <t>EL总体积/JR总孔隙体积@化成后</t>
    <phoneticPr fontId="6" type="noConversion"/>
  </si>
  <si>
    <r>
      <rPr>
        <sz val="10"/>
        <rFont val="宋体"/>
        <family val="3"/>
        <charset val="134"/>
      </rPr>
      <t>参考</t>
    </r>
    <r>
      <rPr>
        <sz val="10"/>
        <rFont val="Calibri"/>
        <family val="2"/>
      </rPr>
      <t>P42</t>
    </r>
    <r>
      <rPr>
        <sz val="10"/>
        <rFont val="宋体"/>
        <family val="3"/>
        <charset val="134"/>
      </rPr>
      <t>经验</t>
    </r>
    <phoneticPr fontId="5" type="noConversion"/>
  </si>
  <si>
    <t>Ah Cell design form</t>
    <phoneticPr fontId="5" type="noConversion"/>
  </si>
  <si>
    <r>
      <rPr>
        <sz val="8"/>
        <rFont val="宋体"/>
        <family val="3"/>
        <charset val="134"/>
      </rPr>
      <t>标称能量密度</t>
    </r>
    <r>
      <rPr>
        <sz val="8"/>
        <rFont val="Calibri"/>
        <family val="2"/>
      </rPr>
      <t>(Wh/Kg)</t>
    </r>
    <phoneticPr fontId="5" type="noConversion"/>
  </si>
  <si>
    <r>
      <rPr>
        <sz val="8"/>
        <rFont val="宋体"/>
        <family val="3"/>
        <charset val="134"/>
      </rPr>
      <t>标称能量密度</t>
    </r>
    <r>
      <rPr>
        <sz val="8"/>
        <rFont val="Calibri"/>
        <family val="2"/>
      </rPr>
      <t>(Wh/L)</t>
    </r>
    <phoneticPr fontId="5" type="noConversion"/>
  </si>
  <si>
    <r>
      <rPr>
        <sz val="10.5"/>
        <color theme="1"/>
        <rFont val="宋体"/>
        <family val="3"/>
        <charset val="134"/>
        <scheme val="minor"/>
      </rPr>
      <t>极耳中心距：在</t>
    </r>
    <r>
      <rPr>
        <sz val="10.5"/>
        <color theme="1"/>
        <rFont val="宋体"/>
        <family val="1"/>
        <scheme val="minor"/>
      </rPr>
      <t>M6U</t>
    </r>
    <r>
      <rPr>
        <sz val="10.5"/>
        <color theme="1"/>
        <rFont val="宋体"/>
        <family val="3"/>
        <charset val="134"/>
        <scheme val="minor"/>
      </rPr>
      <t>的硬壳中指的是正负极极耳中心之间的间距；</t>
    </r>
    <phoneticPr fontId="6" type="noConversion"/>
  </si>
  <si>
    <r>
      <t xml:space="preserve">CCS </t>
    </r>
    <r>
      <rPr>
        <sz val="10"/>
        <rFont val="宋体"/>
        <family val="3"/>
        <charset val="134"/>
      </rPr>
      <t>＆</t>
    </r>
    <r>
      <rPr>
        <sz val="10"/>
        <rFont val="Calibri"/>
        <family val="2"/>
      </rPr>
      <t xml:space="preserve"> PCS</t>
    </r>
    <phoneticPr fontId="6" type="noConversion"/>
  </si>
  <si>
    <t>Single layer thickness</t>
    <phoneticPr fontId="5" type="noConversion"/>
  </si>
  <si>
    <t>Li ZH/Che PP</t>
    <phoneticPr fontId="6" type="noConversion"/>
  </si>
  <si>
    <t>V2</t>
    <phoneticPr fontId="6" type="noConversion"/>
  </si>
  <si>
    <r>
      <rPr>
        <sz val="8"/>
        <rFont val="宋体"/>
        <family val="3"/>
        <charset val="134"/>
      </rPr>
      <t>参考值</t>
    </r>
    <r>
      <rPr>
        <sz val="8"/>
        <rFont val="Calibri"/>
        <family val="2"/>
      </rPr>
      <t>:0.8um(1.5mg),1.4um(2.5mg)</t>
    </r>
    <phoneticPr fontId="6" type="noConversion"/>
  </si>
  <si>
    <r>
      <rPr>
        <sz val="8"/>
        <rFont val="宋体"/>
        <family val="3"/>
        <charset val="134"/>
      </rPr>
      <t>参考值</t>
    </r>
    <r>
      <rPr>
        <sz val="8"/>
        <rFont val="Calibri"/>
        <family val="2"/>
      </rPr>
      <t>:5um(1.5mg),8um(2.5mg)</t>
    </r>
    <r>
      <rPr>
        <sz val="8"/>
        <rFont val="宋体"/>
        <family val="3"/>
        <charset val="134"/>
      </rPr>
      <t xml:space="preserve">
</t>
    </r>
    <phoneticPr fontId="6" type="noConversion"/>
  </si>
  <si>
    <t>AT9</t>
    <phoneticPr fontId="5" type="noConversion"/>
  </si>
  <si>
    <t>/</t>
    <phoneticPr fontId="5" type="noConversion"/>
  </si>
  <si>
    <r>
      <t>1.</t>
    </r>
    <r>
      <rPr>
        <sz val="11"/>
        <color theme="1"/>
        <rFont val="宋体"/>
        <family val="3"/>
        <charset val="134"/>
      </rPr>
      <t xml:space="preserve">用标称容量计算能量密度；
</t>
    </r>
    <r>
      <rPr>
        <sz val="11"/>
        <color theme="1"/>
        <rFont val="Calibri"/>
        <family val="2"/>
      </rPr>
      <t>2.BOM</t>
    </r>
    <r>
      <rPr>
        <sz val="11"/>
        <color theme="1"/>
        <rFont val="宋体"/>
        <family val="3"/>
        <charset val="134"/>
      </rPr>
      <t xml:space="preserve">页主材重量计算、基材面积计算、基材重量计算等公式加入延展因素；
</t>
    </r>
    <r>
      <rPr>
        <sz val="11"/>
        <color theme="1"/>
        <rFont val="Calibri"/>
        <family val="2"/>
      </rPr>
      <t>3.Overhang</t>
    </r>
    <r>
      <rPr>
        <sz val="11"/>
        <color theme="1"/>
        <rFont val="宋体"/>
        <family val="3"/>
        <charset val="134"/>
      </rPr>
      <t xml:space="preserve">部分加入隔膜下压判定条件；
</t>
    </r>
    <r>
      <rPr>
        <sz val="11"/>
        <color theme="1"/>
        <rFont val="Calibri"/>
        <family val="2"/>
      </rPr>
      <t>4.PCS</t>
    </r>
    <r>
      <rPr>
        <sz val="11"/>
        <color theme="1"/>
        <rFont val="宋体"/>
        <family val="3"/>
        <charset val="134"/>
      </rPr>
      <t xml:space="preserve">热压前后厚度参数调整
</t>
    </r>
    <r>
      <rPr>
        <sz val="11"/>
        <color theme="1"/>
        <rFont val="Calibri"/>
        <family val="2"/>
      </rPr>
      <t>5.BOM</t>
    </r>
    <r>
      <rPr>
        <sz val="11"/>
        <color theme="1"/>
        <rFont val="宋体"/>
        <family val="3"/>
        <charset val="134"/>
      </rPr>
      <t>页加入</t>
    </r>
    <r>
      <rPr>
        <sz val="11"/>
        <color theme="1"/>
        <rFont val="Calibri"/>
        <family val="2"/>
      </rPr>
      <t>AT9</t>
    </r>
    <r>
      <rPr>
        <sz val="11"/>
        <color theme="1"/>
        <rFont val="宋体"/>
        <family val="3"/>
        <charset val="134"/>
      </rPr>
      <t>重量计算</t>
    </r>
    <phoneticPr fontId="6" type="noConversion"/>
  </si>
  <si>
    <r>
      <t>Layers</t>
    </r>
    <r>
      <rPr>
        <sz val="11"/>
        <color theme="1"/>
        <rFont val="宋体"/>
        <family val="3"/>
        <charset val="134"/>
      </rPr>
      <t>：层数，一圈相当于</t>
    </r>
    <r>
      <rPr>
        <sz val="11"/>
        <color theme="1"/>
        <rFont val="Calibri"/>
        <family val="2"/>
      </rPr>
      <t>2</t>
    </r>
    <r>
      <rPr>
        <sz val="11"/>
        <color theme="1"/>
        <rFont val="宋体"/>
        <family val="3"/>
        <charset val="134"/>
      </rPr>
      <t>层；在相同的厚度空间内，涂布重量越轻，基材越薄，层数会越多；</t>
    </r>
    <phoneticPr fontId="6" type="noConversion"/>
  </si>
  <si>
    <r>
      <t xml:space="preserve"> Cell balance</t>
    </r>
    <r>
      <rPr>
        <sz val="11"/>
        <color theme="1"/>
        <rFont val="宋体"/>
        <family val="3"/>
        <charset val="134"/>
      </rPr>
      <t>：电芯平衡率，即阳极有效活性物质的容量</t>
    </r>
    <r>
      <rPr>
        <sz val="11"/>
        <color theme="1"/>
        <rFont val="Calibri"/>
        <family val="2"/>
      </rPr>
      <t>/</t>
    </r>
    <r>
      <rPr>
        <sz val="11"/>
        <color theme="1"/>
        <rFont val="宋体"/>
        <family val="3"/>
        <charset val="134"/>
      </rPr>
      <t>阴极有效活性物质的容量，由于生产过程中有公差波动，为了保证电芯不析锂，即</t>
    </r>
    <r>
      <rPr>
        <sz val="11"/>
        <color theme="1"/>
        <rFont val="Calibri"/>
        <family val="2"/>
      </rPr>
      <t>CB</t>
    </r>
    <r>
      <rPr>
        <sz val="11"/>
        <color theme="1"/>
        <rFont val="宋体"/>
        <family val="3"/>
        <charset val="134"/>
      </rPr>
      <t>要大于</t>
    </r>
    <r>
      <rPr>
        <sz val="11"/>
        <color theme="1"/>
        <rFont val="Calibri"/>
        <family val="2"/>
      </rPr>
      <t>1</t>
    </r>
    <r>
      <rPr>
        <sz val="11"/>
        <color theme="1"/>
        <rFont val="宋体"/>
        <family val="3"/>
        <charset val="134"/>
      </rPr>
      <t>，过大的</t>
    </r>
    <r>
      <rPr>
        <sz val="11"/>
        <color theme="1"/>
        <rFont val="Calibri"/>
        <family val="2"/>
      </rPr>
      <t>CB</t>
    </r>
    <r>
      <rPr>
        <sz val="11"/>
        <color theme="1"/>
        <rFont val="宋体"/>
        <family val="3"/>
        <charset val="134"/>
      </rPr>
      <t>又会导致阳极涂布很厚，即浪费物料又影响能量密度，一般满足析锂（快充）等性能的基础上尽可能小，目前</t>
    </r>
    <r>
      <rPr>
        <sz val="11"/>
        <color theme="1"/>
        <rFont val="Calibri"/>
        <family val="2"/>
      </rPr>
      <t>EV</t>
    </r>
    <r>
      <rPr>
        <sz val="11"/>
        <color theme="1"/>
        <rFont val="宋体"/>
        <family val="3"/>
        <charset val="134"/>
      </rPr>
      <t>在</t>
    </r>
    <r>
      <rPr>
        <sz val="11"/>
        <color theme="1"/>
        <rFont val="Calibri"/>
        <family val="2"/>
      </rPr>
      <t>1.1~1.20</t>
    </r>
    <r>
      <rPr>
        <sz val="11"/>
        <color theme="1"/>
        <rFont val="宋体"/>
        <family val="3"/>
        <charset val="134"/>
      </rPr>
      <t>之间；</t>
    </r>
    <r>
      <rPr>
        <sz val="11"/>
        <color theme="1"/>
        <rFont val="Calibri"/>
        <family val="2"/>
      </rPr>
      <t xml:space="preserve"> </t>
    </r>
    <phoneticPr fontId="6" type="noConversion"/>
  </si>
  <si>
    <r>
      <t>Density (g/cm3)</t>
    </r>
    <r>
      <rPr>
        <sz val="11"/>
        <color theme="1"/>
        <rFont val="宋体"/>
        <family val="3"/>
        <charset val="134"/>
      </rPr>
      <t>：压实密度，一般石墨压实为</t>
    </r>
    <r>
      <rPr>
        <sz val="11"/>
        <color theme="1"/>
        <rFont val="Calibri"/>
        <family val="2"/>
      </rPr>
      <t>1.4~1.7</t>
    </r>
    <r>
      <rPr>
        <sz val="11"/>
        <color theme="1"/>
        <rFont val="宋体"/>
        <family val="3"/>
        <charset val="134"/>
      </rPr>
      <t>，软硬碳等一般在</t>
    </r>
    <r>
      <rPr>
        <sz val="11"/>
        <color theme="1"/>
        <rFont val="Calibri"/>
        <family val="2"/>
      </rPr>
      <t>1.0~1.1</t>
    </r>
    <r>
      <rPr>
        <sz val="11"/>
        <color theme="1"/>
        <rFont val="宋体"/>
        <family val="3"/>
        <charset val="134"/>
      </rPr>
      <t>，</t>
    </r>
    <r>
      <rPr>
        <sz val="11"/>
        <color theme="1"/>
        <rFont val="Calibri"/>
        <family val="2"/>
      </rPr>
      <t>LFP</t>
    </r>
    <r>
      <rPr>
        <sz val="11"/>
        <color theme="1"/>
        <rFont val="宋体"/>
        <family val="3"/>
        <charset val="134"/>
      </rPr>
      <t>一般为</t>
    </r>
    <r>
      <rPr>
        <sz val="11"/>
        <color theme="1"/>
        <rFont val="Calibri"/>
        <family val="2"/>
      </rPr>
      <t>2.1~2.2</t>
    </r>
    <r>
      <rPr>
        <sz val="11"/>
        <color theme="1"/>
        <rFont val="宋体"/>
        <family val="3"/>
        <charset val="134"/>
      </rPr>
      <t>，</t>
    </r>
    <r>
      <rPr>
        <sz val="11"/>
        <color theme="1"/>
        <rFont val="Calibri"/>
        <family val="2"/>
      </rPr>
      <t>NCM</t>
    </r>
    <r>
      <rPr>
        <sz val="11"/>
        <color theme="1"/>
        <rFont val="宋体"/>
        <family val="3"/>
        <charset val="134"/>
      </rPr>
      <t>一般为</t>
    </r>
    <r>
      <rPr>
        <sz val="11"/>
        <color theme="1"/>
        <rFont val="Calibri"/>
        <family val="2"/>
      </rPr>
      <t>3.2~3.6</t>
    </r>
    <r>
      <rPr>
        <sz val="11"/>
        <color theme="1"/>
        <rFont val="宋体"/>
        <family val="3"/>
        <charset val="134"/>
      </rPr>
      <t>，压实密度越大，有利于能量密度的提升，过大的压实会导致极片脆，设计过程中需要考虑加工性能；</t>
    </r>
    <phoneticPr fontId="6" type="noConversion"/>
  </si>
  <si>
    <r>
      <t>Width (mm)</t>
    </r>
    <r>
      <rPr>
        <sz val="11"/>
        <color theme="1"/>
        <rFont val="宋体"/>
        <family val="3"/>
        <charset val="134"/>
      </rPr>
      <t>：阴阳极有效膜宽，根据电芯的顶封宽度、</t>
    </r>
    <r>
      <rPr>
        <sz val="11"/>
        <color theme="1"/>
        <rFont val="Calibri"/>
        <family val="2"/>
      </rPr>
      <t>Anode overhang</t>
    </r>
    <r>
      <rPr>
        <sz val="11"/>
        <color theme="1"/>
        <rFont val="宋体"/>
        <family val="3"/>
        <charset val="134"/>
      </rPr>
      <t>、</t>
    </r>
    <r>
      <rPr>
        <sz val="11"/>
        <color theme="1"/>
        <rFont val="Calibri"/>
        <family val="2"/>
      </rPr>
      <t>Separator overhang</t>
    </r>
    <r>
      <rPr>
        <sz val="11"/>
        <color theme="1"/>
        <rFont val="宋体"/>
        <family val="3"/>
        <charset val="134"/>
      </rPr>
      <t>等计算得到，详细可看单元格的计算公式；</t>
    </r>
    <phoneticPr fontId="6" type="noConversion"/>
  </si>
  <si>
    <r>
      <rPr>
        <sz val="11"/>
        <color theme="1"/>
        <rFont val="宋体"/>
        <family val="3"/>
        <charset val="134"/>
      </rPr>
      <t>残空间</t>
    </r>
    <r>
      <rPr>
        <sz val="11"/>
        <color theme="1"/>
        <rFont val="Calibri"/>
        <family val="2"/>
      </rPr>
      <t>(</t>
    </r>
    <r>
      <rPr>
        <sz val="11"/>
        <color theme="1"/>
        <rFont val="宋体"/>
        <family val="3"/>
        <charset val="134"/>
      </rPr>
      <t>死体积</t>
    </r>
    <r>
      <rPr>
        <sz val="11"/>
        <color theme="1"/>
        <rFont val="Calibri"/>
        <family val="2"/>
      </rPr>
      <t>)</t>
    </r>
    <r>
      <rPr>
        <sz val="11"/>
        <color theme="1"/>
        <rFont val="宋体"/>
        <family val="3"/>
        <charset val="134"/>
      </rPr>
      <t>：电芯内腔体中除去被物质占用的体积外还残余的空间，该参数直接影响电芯内部气压</t>
    </r>
    <phoneticPr fontId="6" type="noConversion"/>
  </si>
  <si>
    <t>容量COV</t>
    <phoneticPr fontId="5" type="noConversion"/>
  </si>
  <si>
    <t>1C_1/3C
克容量差</t>
    <phoneticPr fontId="5" type="noConversion"/>
  </si>
  <si>
    <t>V3</t>
    <phoneticPr fontId="6" type="noConversion"/>
  </si>
  <si>
    <t>Wu Xiaomin</t>
    <phoneticPr fontId="6" type="noConversion"/>
  </si>
  <si>
    <r>
      <t>1.</t>
    </r>
    <r>
      <rPr>
        <sz val="11"/>
        <color theme="1"/>
        <rFont val="宋体"/>
        <family val="3"/>
        <charset val="134"/>
      </rPr>
      <t>修改</t>
    </r>
    <r>
      <rPr>
        <sz val="11"/>
        <color theme="1"/>
        <rFont val="Calibri"/>
        <family val="2"/>
      </rPr>
      <t>BOM</t>
    </r>
    <r>
      <rPr>
        <sz val="11"/>
        <color theme="1"/>
        <rFont val="宋体"/>
        <family val="3"/>
        <charset val="134"/>
      </rPr>
      <t xml:space="preserve">中阴极的重量计算
</t>
    </r>
    <r>
      <rPr>
        <sz val="11"/>
        <color theme="1"/>
        <rFont val="Calibri"/>
        <family val="2"/>
      </rPr>
      <t>2.</t>
    </r>
    <r>
      <rPr>
        <sz val="11"/>
        <color theme="1"/>
        <rFont val="宋体"/>
        <family val="3"/>
        <charset val="134"/>
      </rPr>
      <t>将“容量б”修改为“容量</t>
    </r>
    <r>
      <rPr>
        <sz val="11"/>
        <color theme="1"/>
        <rFont val="Calibri"/>
        <family val="2"/>
      </rPr>
      <t>COV”</t>
    </r>
    <phoneticPr fontId="6" type="noConversion"/>
  </si>
  <si>
    <r>
      <t>COV</t>
    </r>
    <r>
      <rPr>
        <sz val="10"/>
        <rFont val="微软雅黑"/>
        <family val="2"/>
        <charset val="134"/>
      </rPr>
      <t>≤</t>
    </r>
    <r>
      <rPr>
        <sz val="10"/>
        <rFont val="Calibri"/>
        <family val="2"/>
      </rPr>
      <t>0.4%</t>
    </r>
    <phoneticPr fontId="6" type="noConversion"/>
  </si>
  <si>
    <r>
      <t xml:space="preserve">         </t>
    </r>
    <r>
      <rPr>
        <sz val="10"/>
        <rFont val="微软雅黑"/>
        <family val="2"/>
        <charset val="134"/>
      </rPr>
      <t>≤</t>
    </r>
    <r>
      <rPr>
        <sz val="10"/>
        <rFont val="Calibri"/>
        <family val="2"/>
      </rPr>
      <t>5000</t>
    </r>
    <r>
      <rPr>
        <sz val="10"/>
        <rFont val="微软雅黑"/>
        <family val="2"/>
        <charset val="134"/>
      </rPr>
      <t>：</t>
    </r>
    <r>
      <rPr>
        <sz val="10"/>
        <rFont val="Calibri"/>
        <family val="2"/>
      </rPr>
      <t>±2
5000-12000</t>
    </r>
    <r>
      <rPr>
        <sz val="10"/>
        <rFont val="微软雅黑"/>
        <family val="2"/>
        <charset val="134"/>
      </rPr>
      <t>：</t>
    </r>
    <r>
      <rPr>
        <sz val="10"/>
        <rFont val="Calibri"/>
        <family val="2"/>
      </rPr>
      <t>±3</t>
    </r>
    <phoneticPr fontId="5" type="noConversion"/>
  </si>
  <si>
    <t>是否虚拟件</t>
    <phoneticPr fontId="6" type="noConversion"/>
  </si>
  <si>
    <t>是否虚拟件</t>
    <phoneticPr fontId="6" type="noConversion"/>
  </si>
  <si>
    <t>新Model(尚无精确参数)</t>
    <phoneticPr fontId="6" type="noConversion"/>
  </si>
  <si>
    <r>
      <rPr>
        <sz val="10"/>
        <color theme="1"/>
        <rFont val="宋体"/>
        <family val="3"/>
        <charset val="134"/>
      </rPr>
      <t xml:space="preserve">化成反弹
</t>
    </r>
    <r>
      <rPr>
        <sz val="10"/>
        <color theme="1"/>
        <rFont val="Calibri"/>
        <family val="2"/>
      </rPr>
      <t>(vs</t>
    </r>
    <r>
      <rPr>
        <sz val="10"/>
        <color theme="1"/>
        <rFont val="宋体"/>
        <family val="3"/>
        <charset val="134"/>
      </rPr>
      <t>冷压</t>
    </r>
    <r>
      <rPr>
        <sz val="10"/>
        <color theme="1"/>
        <rFont val="Calibri"/>
        <family val="2"/>
      </rPr>
      <t>)</t>
    </r>
    <phoneticPr fontId="6" type="noConversion"/>
  </si>
  <si>
    <r>
      <rPr>
        <sz val="10"/>
        <color theme="1"/>
        <rFont val="宋体"/>
        <family val="3"/>
        <charset val="134"/>
      </rPr>
      <t xml:space="preserve">化成反弹
</t>
    </r>
    <r>
      <rPr>
        <sz val="10"/>
        <color theme="1"/>
        <rFont val="Calibri"/>
        <family val="2"/>
      </rPr>
      <t>(vs</t>
    </r>
    <r>
      <rPr>
        <sz val="10"/>
        <color theme="1"/>
        <rFont val="宋体"/>
        <family val="3"/>
        <charset val="134"/>
      </rPr>
      <t>冷压</t>
    </r>
    <r>
      <rPr>
        <sz val="10"/>
        <color theme="1"/>
        <rFont val="Calibri"/>
        <family val="2"/>
      </rPr>
      <t>)</t>
    </r>
    <phoneticPr fontId="6" type="noConversion"/>
  </si>
  <si>
    <t>化成反弹
(vs冷压)</t>
    <phoneticPr fontId="5" type="noConversion"/>
  </si>
  <si>
    <t>full charge swelling</t>
    <phoneticPr fontId="6" type="noConversion"/>
  </si>
  <si>
    <t>满充后(mean)下限</t>
    <phoneticPr fontId="6" type="noConversion"/>
  </si>
  <si>
    <t>满充后(mean)</t>
    <phoneticPr fontId="6" type="noConversion"/>
  </si>
  <si>
    <t>满充后(mean)上限</t>
    <phoneticPr fontId="6" type="noConversion"/>
  </si>
  <si>
    <t>满充后计算的COV(以36水平)</t>
    <phoneticPr fontId="6" type="noConversion"/>
  </si>
  <si>
    <t>电芯厚度COV</t>
    <phoneticPr fontId="6" type="noConversion"/>
  </si>
  <si>
    <t>壳体大面壁厚COV</t>
    <phoneticPr fontId="6" type="noConversion"/>
  </si>
  <si>
    <t>特殊说明</t>
    <phoneticPr fontId="6" type="noConversion"/>
  </si>
  <si>
    <t>职能组或项目或产品类型名称</t>
    <phoneticPr fontId="6" type="noConversion"/>
  </si>
  <si>
    <t>职能组或项目或产品类型名称</t>
    <phoneticPr fontId="5" type="noConversion"/>
  </si>
  <si>
    <r>
      <rPr>
        <sz val="10"/>
        <rFont val="宋体"/>
        <family val="3"/>
        <charset val="134"/>
      </rPr>
      <t>备注</t>
    </r>
    <r>
      <rPr>
        <sz val="10"/>
        <rFont val="Calibri"/>
        <family val="2"/>
      </rPr>
      <t>(</t>
    </r>
    <r>
      <rPr>
        <sz val="10"/>
        <rFont val="宋体"/>
        <family val="3"/>
        <charset val="134"/>
      </rPr>
      <t>哪些是预估数据）</t>
    </r>
    <phoneticPr fontId="6" type="noConversion"/>
  </si>
  <si>
    <t>特殊说明</t>
    <phoneticPr fontId="6" type="noConversion"/>
  </si>
  <si>
    <t>特殊说明</t>
    <phoneticPr fontId="6" type="noConversion"/>
  </si>
  <si>
    <t>备注(哪些是预估数据）</t>
    <phoneticPr fontId="6" type="noConversion"/>
  </si>
  <si>
    <t>特殊说明</t>
    <phoneticPr fontId="6" type="noConversion"/>
  </si>
  <si>
    <r>
      <rPr>
        <b/>
        <sz val="9"/>
        <rFont val="宋体"/>
        <family val="3"/>
        <charset val="134"/>
      </rPr>
      <t>当前版本</t>
    </r>
    <r>
      <rPr>
        <b/>
        <sz val="9"/>
        <rFont val="Calibri"/>
        <family val="2"/>
      </rPr>
      <t>:V5</t>
    </r>
    <phoneticPr fontId="6" type="noConversion"/>
  </si>
</sst>
</file>

<file path=xl/styles.xml><?xml version="1.0" encoding="utf-8"?>
<styleSheet xmlns="http://schemas.openxmlformats.org/spreadsheetml/2006/main" xmlns:mc="http://schemas.openxmlformats.org/markup-compatibility/2006" xmlns:x14ac="http://schemas.microsoft.com/office/spreadsheetml/2009/9/ac" mc:Ignorable="x14ac">
  <numFmts count="59">
    <numFmt numFmtId="41" formatCode="_ * #,##0_ ;_ * \-#,##0_ ;_ * &quot;-&quot;_ ;_ @_ "/>
    <numFmt numFmtId="43" formatCode="_ * #,##0.00_ ;_ * \-#,##0.00_ ;_ * &quot;-&quot;??_ ;_ @_ "/>
    <numFmt numFmtId="176" formatCode="0.00_ "/>
    <numFmt numFmtId="177" formatCode="0.0_ "/>
    <numFmt numFmtId="178" formatCode="0.0%"/>
    <numFmt numFmtId="179" formatCode="0.000"/>
    <numFmt numFmtId="180" formatCode="0.000_ "/>
    <numFmt numFmtId="181" formatCode="0_ "/>
    <numFmt numFmtId="182" formatCode="0.0"/>
    <numFmt numFmtId="183" formatCode="0.00000_ "/>
    <numFmt numFmtId="184" formatCode="0.00000"/>
    <numFmt numFmtId="185" formatCode="0.00_);[Red]\(0.00\)"/>
    <numFmt numFmtId="186" formatCode="0.0_);[Red]\(0.0\)"/>
    <numFmt numFmtId="187" formatCode="0.000_);[Red]\(0.000\)"/>
    <numFmt numFmtId="188" formatCode="0.00000000_ "/>
    <numFmt numFmtId="189" formatCode="0.00000_);[Red]\(0.00000\)"/>
    <numFmt numFmtId="190" formatCode="_-* #,##0_-;\-* #,##0_-;_-* &quot;-&quot;_-;_-@_-"/>
    <numFmt numFmtId="191" formatCode="_-* #,##0.00_-;\-* #,##0.00_-;_-* &quot;-&quot;??_-;_-@_-"/>
    <numFmt numFmtId="192" formatCode="_ * #,##0_)_$_ ;_ * \(#,##0\)_$_ ;_ * &quot;-&quot;_)_$_ ;_ @_ "/>
    <numFmt numFmtId="193" formatCode="_ * #,##0.00_)_$_ ;_ * \(#,##0.00\)_$_ ;_ * &quot;-&quot;??_)_$_ ;_ @_ "/>
    <numFmt numFmtId="194" formatCode="_-&quot;$&quot;* #,##0_-;\-&quot;$&quot;* #,##0_-;_-&quot;$&quot;* &quot;-&quot;_-;_-@_-"/>
    <numFmt numFmtId="195" formatCode="_-&quot;$&quot;* #,##0.00_-;\-&quot;$&quot;* #,##0.00_-;_-&quot;$&quot;* &quot;-&quot;??_-;_-@_-"/>
    <numFmt numFmtId="196" formatCode="_(&quot;$&quot;* #,##0_);_(&quot;$&quot;* \(#,##0\);_(&quot;$&quot;* &quot;-&quot;_);_(@_)"/>
    <numFmt numFmtId="197" formatCode="_(&quot;$&quot;* #,##0.00_);_(&quot;$&quot;* \(#,##0.00\);_(&quot;$&quot;* &quot;-&quot;??_);_(@_)"/>
    <numFmt numFmtId="198" formatCode="_(* #,##0.00_);_(* \(#,##0.00\);_(* &quot;-&quot;??_);_(@_)"/>
    <numFmt numFmtId="199" formatCode="_(* #,##0_);_(* \(#,##0\);_(* &quot;-&quot;_);_(@_)"/>
    <numFmt numFmtId="200" formatCode="&quot;US$&quot;#,##0_);[Red]\(&quot;US$&quot;#,##0\)"/>
    <numFmt numFmtId="201" formatCode="_(&quot;RM&quot;* #,##0.00_);_(&quot;RM&quot;* \(#,##0.00\);_(&quot;RM&quot;* &quot;-&quot;??_);_(@_)"/>
    <numFmt numFmtId="202" formatCode="#,##0.00&quot;$&quot;_);\(#,##0.00&quot;$&quot;\)"/>
    <numFmt numFmtId="203" formatCode="#,##0&quot;$&quot;_);\(#,##0&quot;$&quot;\)"/>
    <numFmt numFmtId="204" formatCode="_(&quot;?&quot;* #,##0_);_(&quot;?&quot;* \(#,##0\);_(&quot;?&quot;* &quot;-&quot;_);_(@_)"/>
    <numFmt numFmtId="205" formatCode="_(&quot;RM&quot;* #,##0_);_(&quot;RM&quot;* \(#,##0\);_(&quot;RM&quot;* &quot;-&quot;_);_(@_)"/>
    <numFmt numFmtId="206" formatCode="_ * #,##0_)&quot;$&quot;_ ;_ * \(#,##0\)&quot;$&quot;_ ;_ * &quot;-&quot;_)&quot;$&quot;_ ;_ @_ "/>
    <numFmt numFmtId="207" formatCode="_ * #,##0.00_)&quot;$&quot;_ ;_ * \(#,##0.00\)&quot;$&quot;_ ;_ * &quot;-&quot;??_)&quot;$&quot;_ ;_ @_ "/>
    <numFmt numFmtId="208" formatCode="#,##0.0_ "/>
    <numFmt numFmtId="209" formatCode="#,##0.0_);\(#,##0.0\)"/>
    <numFmt numFmtId="210" formatCode="_(* #,##0.0000_);_(* \(#,##0.0000\);_(* &quot;-&quot;??_);_(@_)"/>
    <numFmt numFmtId="211" formatCode="0.0%;[Red]\(0.0%\)"/>
    <numFmt numFmtId="212" formatCode="0%;[Red]\(0%\)"/>
    <numFmt numFmtId="213" formatCode="_-&quot;NT$&quot;* #,##0.00_-;\-&quot;NT$&quot;* #,##0.00_-;_-&quot;NT$&quot;* &quot;-&quot;??_-;_-@_-"/>
    <numFmt numFmtId="214" formatCode="0.0%;\(0.0%\)"/>
    <numFmt numFmtId="215" formatCode="&quot;MODEL：&quot;@"/>
    <numFmt numFmtId="216" formatCode="0.000000"/>
    <numFmt numFmtId="217" formatCode="_ [$€-2]* #,##0.00_ ;_ [$€-2]* \-#,##0.00_ ;_ [$€-2]* &quot;-&quot;??_ "/>
    <numFmt numFmtId="218" formatCode="0.00_)"/>
    <numFmt numFmtId="219" formatCode="mmm\.yy"/>
    <numFmt numFmtId="220" formatCode="_-* #,##0.0_-;\-* #,##0.0_-;_-* &quot;-&quot;??_-;_-@_-"/>
    <numFmt numFmtId="221" formatCode="d\.mmm\.yy"/>
    <numFmt numFmtId="222" formatCode="d\.mmm"/>
    <numFmt numFmtId="223" formatCode="d\.m\.yy\ h:mm"/>
    <numFmt numFmtId="224" formatCode="d\.m\.yy"/>
    <numFmt numFmtId="225" formatCode="#,##0.00\ &quot;Esc.&quot;;\-#,##0.00\ &quot;Esc.&quot;"/>
    <numFmt numFmtId="226" formatCode="0.0000_);[Red]\(0.0000\)"/>
    <numFmt numFmtId="227" formatCode="0.0000"/>
    <numFmt numFmtId="228" formatCode="&quot;+/-&quot;\ 0.000"/>
    <numFmt numFmtId="229" formatCode="0_);[Red]\(0\)"/>
    <numFmt numFmtId="230" formatCode="0.0000_ "/>
    <numFmt numFmtId="231" formatCode="&quot;+/-&quot;\ 0.0"/>
    <numFmt numFmtId="232" formatCode="&quot;~&quot;\ 0.0"/>
  </numFmts>
  <fonts count="184">
    <font>
      <sz val="11"/>
      <color theme="1"/>
      <name val="宋体"/>
      <family val="2"/>
      <scheme val="minor"/>
    </font>
    <font>
      <sz val="11"/>
      <color theme="1"/>
      <name val="宋体"/>
      <family val="2"/>
      <charset val="134"/>
      <scheme val="minor"/>
    </font>
    <font>
      <sz val="11"/>
      <color theme="1"/>
      <name val="宋体"/>
      <family val="2"/>
      <charset val="134"/>
      <scheme val="minor"/>
    </font>
    <font>
      <sz val="12"/>
      <name val="宋体"/>
      <family val="3"/>
      <charset val="134"/>
    </font>
    <font>
      <sz val="10"/>
      <name val="Arial"/>
      <family val="2"/>
    </font>
    <font>
      <sz val="9"/>
      <name val="宋体"/>
      <family val="3"/>
      <charset val="134"/>
    </font>
    <font>
      <sz val="9"/>
      <name val="宋体"/>
      <family val="3"/>
      <charset val="134"/>
      <scheme val="minor"/>
    </font>
    <font>
      <b/>
      <sz val="12"/>
      <color theme="1"/>
      <name val="宋体"/>
      <family val="3"/>
      <charset val="134"/>
    </font>
    <font>
      <b/>
      <sz val="10"/>
      <color indexed="62"/>
      <name val="Arial"/>
      <family val="2"/>
    </font>
    <font>
      <sz val="10"/>
      <color indexed="62"/>
      <name val="Arial"/>
      <family val="2"/>
    </font>
    <font>
      <b/>
      <sz val="12"/>
      <name val="宋体"/>
      <family val="3"/>
      <charset val="134"/>
    </font>
    <font>
      <sz val="11"/>
      <name val="Arial"/>
      <family val="2"/>
    </font>
    <font>
      <sz val="12"/>
      <name val="Arial"/>
      <family val="2"/>
    </font>
    <font>
      <sz val="10"/>
      <name val="宋体"/>
      <family val="3"/>
      <charset val="134"/>
    </font>
    <font>
      <b/>
      <sz val="12"/>
      <name val="Arial"/>
      <family val="2"/>
    </font>
    <font>
      <b/>
      <sz val="12"/>
      <name val="Times New Roman"/>
      <family val="1"/>
    </font>
    <font>
      <sz val="12"/>
      <name val="Times New Roman"/>
      <family val="1"/>
    </font>
    <font>
      <sz val="8"/>
      <name val="宋体"/>
      <family val="3"/>
      <charset val="134"/>
    </font>
    <font>
      <b/>
      <sz val="9"/>
      <color indexed="81"/>
      <name val="宋体"/>
      <family val="3"/>
      <charset val="134"/>
    </font>
    <font>
      <sz val="9"/>
      <color indexed="81"/>
      <name val="宋体"/>
      <family val="3"/>
      <charset val="134"/>
    </font>
    <font>
      <sz val="10"/>
      <name val="Courier"/>
      <family val="3"/>
    </font>
    <font>
      <sz val="11"/>
      <name val="__ _____"/>
      <family val="2"/>
    </font>
    <font>
      <sz val="10"/>
      <name val="__ _____"/>
      <family val="2"/>
    </font>
    <font>
      <sz val="10"/>
      <color indexed="8"/>
      <name val="Arial"/>
      <family val="2"/>
    </font>
    <font>
      <sz val="12"/>
      <name val="新細明體"/>
      <family val="1"/>
      <charset val="136"/>
    </font>
    <font>
      <sz val="11"/>
      <name val="‚l‚r ‚oƒSƒVƒbƒN"/>
      <family val="1"/>
    </font>
    <font>
      <sz val="12"/>
      <name val="華康中楷體"/>
      <family val="3"/>
    </font>
    <font>
      <sz val="14"/>
      <name val="AngsanaUPC"/>
      <family val="1"/>
    </font>
    <font>
      <sz val="10"/>
      <name val="Helv"/>
      <family val="2"/>
    </font>
    <font>
      <sz val="10"/>
      <name val="Geneva"/>
      <family val="2"/>
    </font>
    <font>
      <u/>
      <sz val="8.5"/>
      <color indexed="36"/>
      <name val="Arial"/>
      <family val="2"/>
    </font>
    <font>
      <sz val="8"/>
      <name val="Arial"/>
      <family val="2"/>
    </font>
    <font>
      <u/>
      <sz val="8"/>
      <color indexed="12"/>
      <name val="Times New Roman"/>
      <family val="1"/>
    </font>
    <font>
      <b/>
      <i/>
      <sz val="16"/>
      <name val="Helv"/>
      <family val="2"/>
    </font>
    <font>
      <sz val="12"/>
      <name val="Osaka"/>
      <family val="2"/>
    </font>
    <font>
      <sz val="10"/>
      <name val="MS Sans Serif"/>
      <family val="2"/>
    </font>
    <font>
      <sz val="11"/>
      <name val="?l?r ?o?S?V?b?N"/>
      <family val="1"/>
    </font>
    <font>
      <sz val="11"/>
      <name val="俵俽 柧挬"/>
      <family val="1"/>
    </font>
    <font>
      <sz val="12"/>
      <name val="Helv"/>
      <family val="2"/>
    </font>
    <font>
      <u/>
      <sz val="12"/>
      <color indexed="12"/>
      <name val="宋体"/>
      <family val="3"/>
      <charset val="134"/>
    </font>
    <font>
      <u/>
      <sz val="12"/>
      <color indexed="20"/>
      <name val="宋体"/>
      <family val="3"/>
      <charset val="134"/>
    </font>
    <font>
      <sz val="11"/>
      <name val="俵俽 俹僑僔僢僋"/>
      <family val="3"/>
      <charset val="134"/>
    </font>
    <font>
      <sz val="11"/>
      <name val="돋움"/>
      <family val="2"/>
    </font>
    <font>
      <b/>
      <sz val="10"/>
      <color theme="1" tint="4.9989318521683403E-2"/>
      <name val="Arial"/>
      <family val="2"/>
    </font>
    <font>
      <sz val="10"/>
      <color theme="1" tint="4.9989318521683403E-2"/>
      <name val="Arial"/>
      <family val="2"/>
    </font>
    <font>
      <sz val="10"/>
      <color theme="1" tint="4.9989318521683403E-2"/>
      <name val="宋体"/>
      <family val="3"/>
      <charset val="134"/>
    </font>
    <font>
      <sz val="11"/>
      <color theme="1"/>
      <name val="宋体"/>
      <family val="2"/>
      <scheme val="minor"/>
    </font>
    <font>
      <sz val="8"/>
      <name val="Calibri"/>
      <family val="2"/>
    </font>
    <font>
      <sz val="10"/>
      <name val="Calibri"/>
      <family val="2"/>
    </font>
    <font>
      <b/>
      <sz val="11"/>
      <color theme="1"/>
      <name val="宋体"/>
      <family val="3"/>
      <charset val="134"/>
    </font>
    <font>
      <sz val="11"/>
      <color theme="1"/>
      <name val="Calibri"/>
      <family val="2"/>
    </font>
    <font>
      <b/>
      <sz val="11"/>
      <color theme="1"/>
      <name val="Calibri"/>
      <family val="2"/>
    </font>
    <font>
      <sz val="11"/>
      <color theme="1"/>
      <name val="宋体"/>
      <family val="2"/>
    </font>
    <font>
      <sz val="10"/>
      <color rgb="FF000000"/>
      <name val="Calibri"/>
      <family val="2"/>
    </font>
    <font>
      <sz val="12"/>
      <name val="Calibri"/>
      <family val="2"/>
    </font>
    <font>
      <b/>
      <sz val="12"/>
      <name val="Calibri"/>
      <family val="2"/>
    </font>
    <font>
      <sz val="9"/>
      <color theme="1"/>
      <name val="Calibri"/>
      <family val="2"/>
    </font>
    <font>
      <sz val="11"/>
      <name val="Calibri"/>
      <family val="2"/>
    </font>
    <font>
      <b/>
      <sz val="10"/>
      <name val="Calibri"/>
      <family val="2"/>
    </font>
    <font>
      <i/>
      <sz val="12"/>
      <name val="Calibri"/>
      <family val="2"/>
    </font>
    <font>
      <sz val="16"/>
      <name val="Calibri"/>
      <family val="2"/>
    </font>
    <font>
      <b/>
      <sz val="8"/>
      <name val="宋体"/>
      <family val="3"/>
      <charset val="134"/>
    </font>
    <font>
      <b/>
      <sz val="14"/>
      <color theme="1"/>
      <name val="宋体"/>
      <family val="3"/>
      <charset val="134"/>
    </font>
    <font>
      <b/>
      <sz val="8"/>
      <name val="Calibri"/>
      <family val="2"/>
    </font>
    <font>
      <sz val="11"/>
      <name val="宋体"/>
      <family val="3"/>
      <charset val="134"/>
    </font>
    <font>
      <sz val="9"/>
      <name val="Calibri"/>
      <family val="2"/>
    </font>
    <font>
      <sz val="11"/>
      <color theme="1"/>
      <name val="宋体"/>
      <family val="3"/>
      <charset val="134"/>
    </font>
    <font>
      <b/>
      <sz val="8"/>
      <color rgb="FFFF0000"/>
      <name val="宋体"/>
      <family val="3"/>
      <charset val="134"/>
    </font>
    <font>
      <sz val="8"/>
      <color rgb="FFFF0000"/>
      <name val="宋体"/>
      <family val="3"/>
      <charset val="134"/>
    </font>
    <font>
      <sz val="9"/>
      <name val="宋体"/>
      <family val="2"/>
      <charset val="134"/>
      <scheme val="minor"/>
    </font>
    <font>
      <b/>
      <sz val="10"/>
      <color indexed="10"/>
      <name val="Calibri"/>
      <family val="2"/>
    </font>
    <font>
      <b/>
      <sz val="10"/>
      <color indexed="14"/>
      <name val="Calibri"/>
      <family val="2"/>
    </font>
    <font>
      <sz val="10"/>
      <color indexed="10"/>
      <name val="Calibri"/>
      <family val="2"/>
    </font>
    <font>
      <sz val="10"/>
      <color rgb="FFFF00FF"/>
      <name val="Calibri"/>
      <family val="2"/>
    </font>
    <font>
      <sz val="10"/>
      <color indexed="14"/>
      <name val="Calibri"/>
      <family val="2"/>
    </font>
    <font>
      <i/>
      <sz val="10"/>
      <color theme="1" tint="4.9989318521683403E-2"/>
      <name val="Arial"/>
      <family val="2"/>
    </font>
    <font>
      <sz val="16"/>
      <color theme="1" tint="4.9989318521683403E-2"/>
      <name val="Arial"/>
      <family val="2"/>
    </font>
    <font>
      <sz val="12"/>
      <color indexed="8"/>
      <name val="微软雅黑"/>
      <family val="2"/>
      <charset val="134"/>
    </font>
    <font>
      <sz val="12"/>
      <color indexed="9"/>
      <name val="微软雅黑"/>
      <family val="2"/>
      <charset val="134"/>
    </font>
    <font>
      <sz val="12"/>
      <color indexed="14"/>
      <name val="微软雅黑"/>
      <family val="2"/>
      <charset val="134"/>
    </font>
    <font>
      <b/>
      <sz val="12"/>
      <color indexed="52"/>
      <name val="微软雅黑"/>
      <family val="2"/>
      <charset val="134"/>
    </font>
    <font>
      <b/>
      <sz val="12"/>
      <color indexed="9"/>
      <name val="微软雅黑"/>
      <family val="2"/>
      <charset val="134"/>
    </font>
    <font>
      <i/>
      <sz val="12"/>
      <color indexed="23"/>
      <name val="微软雅黑"/>
      <family val="2"/>
      <charset val="134"/>
    </font>
    <font>
      <sz val="12"/>
      <color indexed="17"/>
      <name val="微软雅黑"/>
      <family val="2"/>
      <charset val="134"/>
    </font>
    <font>
      <b/>
      <sz val="15"/>
      <color indexed="62"/>
      <name val="微软雅黑"/>
      <family val="2"/>
      <charset val="134"/>
    </font>
    <font>
      <b/>
      <sz val="13"/>
      <color indexed="62"/>
      <name val="微软雅黑"/>
      <family val="2"/>
      <charset val="134"/>
    </font>
    <font>
      <b/>
      <sz val="11"/>
      <color indexed="62"/>
      <name val="微软雅黑"/>
      <family val="2"/>
      <charset val="134"/>
    </font>
    <font>
      <u/>
      <sz val="10"/>
      <color indexed="12"/>
      <name val="Arial"/>
      <family val="2"/>
    </font>
    <font>
      <u/>
      <sz val="8.5"/>
      <color indexed="12"/>
      <name val="Arial"/>
      <family val="2"/>
    </font>
    <font>
      <sz val="12"/>
      <color indexed="62"/>
      <name val="微软雅黑"/>
      <family val="2"/>
      <charset val="134"/>
    </font>
    <font>
      <sz val="12"/>
      <color indexed="52"/>
      <name val="微软雅黑"/>
      <family val="2"/>
      <charset val="134"/>
    </font>
    <font>
      <sz val="12"/>
      <color indexed="60"/>
      <name val="微软雅黑"/>
      <family val="2"/>
      <charset val="134"/>
    </font>
    <font>
      <b/>
      <sz val="12"/>
      <color indexed="63"/>
      <name val="微软雅黑"/>
      <family val="2"/>
      <charset val="134"/>
    </font>
    <font>
      <b/>
      <sz val="18"/>
      <color indexed="62"/>
      <name val="Cambria"/>
      <family val="1"/>
    </font>
    <font>
      <b/>
      <sz val="12"/>
      <color indexed="8"/>
      <name val="微软雅黑"/>
      <family val="2"/>
      <charset val="134"/>
    </font>
    <font>
      <sz val="12"/>
      <color indexed="10"/>
      <name val="微软雅黑"/>
      <family val="2"/>
      <charset val="134"/>
    </font>
    <font>
      <u/>
      <sz val="11"/>
      <color indexed="12"/>
      <name val="ＭＳ Ｐゴシック"/>
      <family val="2"/>
      <charset val="128"/>
    </font>
    <font>
      <sz val="12"/>
      <name val="Osaka"/>
      <family val="3"/>
      <charset val="255"/>
    </font>
    <font>
      <u/>
      <sz val="11"/>
      <color indexed="36"/>
      <name val="ＭＳ Ｐゴシック"/>
      <family val="2"/>
      <charset val="128"/>
    </font>
    <font>
      <sz val="11"/>
      <color indexed="14"/>
      <name val="宋体"/>
      <family val="3"/>
      <charset val="134"/>
    </font>
    <font>
      <sz val="11"/>
      <color indexed="20"/>
      <name val="宋体"/>
      <family val="3"/>
      <charset val="134"/>
    </font>
    <font>
      <sz val="12"/>
      <color indexed="20"/>
      <name val="Calibri"/>
      <family val="2"/>
    </font>
    <font>
      <sz val="11"/>
      <color indexed="20"/>
      <name val="Calibri"/>
      <family val="2"/>
    </font>
    <font>
      <sz val="12"/>
      <color indexed="17"/>
      <name val="Calibri"/>
      <family val="2"/>
    </font>
    <font>
      <sz val="11"/>
      <color indexed="17"/>
      <name val="Calibri"/>
      <family val="2"/>
    </font>
    <font>
      <sz val="11"/>
      <color indexed="17"/>
      <name val="宋体"/>
      <family val="3"/>
      <charset val="134"/>
    </font>
    <font>
      <sz val="11"/>
      <name val="ＭＳ Ｐゴシック"/>
      <family val="2"/>
    </font>
    <font>
      <sz val="11"/>
      <name val="ＭＳ Ｐゴシック"/>
      <family val="2"/>
      <charset val="128"/>
    </font>
    <font>
      <b/>
      <sz val="10"/>
      <color indexed="16"/>
      <name val="Calibri"/>
      <family val="2"/>
    </font>
    <font>
      <sz val="10"/>
      <color theme="1" tint="4.9989318521683403E-2"/>
      <name val="Calibri"/>
      <family val="2"/>
    </font>
    <font>
      <sz val="18"/>
      <color theme="1"/>
      <name val="微软雅黑"/>
      <family val="2"/>
      <charset val="134"/>
    </font>
    <font>
      <b/>
      <sz val="12"/>
      <name val="微软雅黑"/>
      <family val="2"/>
      <charset val="134"/>
    </font>
    <font>
      <strike/>
      <sz val="10"/>
      <color rgb="FF000000"/>
      <name val="微软雅黑"/>
      <family val="2"/>
      <charset val="134"/>
    </font>
    <font>
      <sz val="10"/>
      <color rgb="FF000000"/>
      <name val="微软雅黑"/>
      <family val="2"/>
      <charset val="134"/>
    </font>
    <font>
      <sz val="10"/>
      <color theme="1"/>
      <name val="微软雅黑"/>
      <family val="2"/>
      <charset val="134"/>
    </font>
    <font>
      <sz val="12"/>
      <color rgb="FF000000"/>
      <name val="微软雅黑"/>
      <family val="2"/>
      <charset val="134"/>
    </font>
    <font>
      <sz val="10"/>
      <color indexed="62"/>
      <name val="Calibri"/>
      <family val="2"/>
    </font>
    <font>
      <sz val="12"/>
      <color theme="9"/>
      <name val="Calibri"/>
      <family val="2"/>
    </font>
    <font>
      <sz val="12"/>
      <color rgb="FFFF0000"/>
      <name val="Calibri"/>
      <family val="2"/>
    </font>
    <font>
      <b/>
      <sz val="12"/>
      <color theme="1"/>
      <name val="Calibri"/>
      <family val="2"/>
    </font>
    <font>
      <b/>
      <sz val="10"/>
      <color indexed="62"/>
      <name val="Calibri"/>
      <family val="2"/>
    </font>
    <font>
      <i/>
      <sz val="10"/>
      <color theme="1" tint="4.9989318521683403E-2"/>
      <name val="Calibri"/>
      <family val="2"/>
    </font>
    <font>
      <b/>
      <sz val="11"/>
      <name val="Calibri"/>
      <family val="2"/>
    </font>
    <font>
      <b/>
      <sz val="11"/>
      <name val="宋体"/>
      <family val="3"/>
      <charset val="134"/>
    </font>
    <font>
      <b/>
      <sz val="16"/>
      <color theme="1" tint="4.9989318521683403E-2"/>
      <name val="Calibri"/>
      <family val="2"/>
    </font>
    <font>
      <b/>
      <sz val="16"/>
      <color theme="1"/>
      <name val="宋体"/>
      <family val="3"/>
      <charset val="134"/>
    </font>
    <font>
      <b/>
      <sz val="16"/>
      <color theme="1"/>
      <name val="Calibri"/>
      <family val="2"/>
    </font>
    <font>
      <b/>
      <sz val="14"/>
      <color theme="1"/>
      <name val="Calibri"/>
      <family val="2"/>
    </font>
    <font>
      <b/>
      <sz val="10"/>
      <color theme="1"/>
      <name val="Calibri"/>
      <family val="2"/>
    </font>
    <font>
      <b/>
      <sz val="16"/>
      <name val="Calibri"/>
      <family val="2"/>
    </font>
    <font>
      <b/>
      <sz val="16"/>
      <name val="宋体"/>
      <family val="3"/>
      <charset val="134"/>
    </font>
    <font>
      <b/>
      <sz val="11"/>
      <color theme="1" tint="4.9989318521683403E-2"/>
      <name val="Calibri"/>
      <family val="2"/>
    </font>
    <font>
      <vertAlign val="superscript"/>
      <sz val="8"/>
      <name val="Calibri"/>
      <family val="2"/>
    </font>
    <font>
      <b/>
      <sz val="10"/>
      <color indexed="12"/>
      <name val="Calibri"/>
      <family val="2"/>
    </font>
    <font>
      <b/>
      <sz val="14"/>
      <name val="Calibri"/>
      <family val="2"/>
    </font>
    <font>
      <sz val="9"/>
      <color theme="1"/>
      <name val="宋体"/>
      <family val="2"/>
    </font>
    <font>
      <sz val="12"/>
      <color theme="1"/>
      <name val="Calibri"/>
      <family val="2"/>
    </font>
    <font>
      <strike/>
      <sz val="10"/>
      <color rgb="FF000000"/>
      <name val="Calibri"/>
      <family val="2"/>
    </font>
    <font>
      <sz val="10"/>
      <color theme="1"/>
      <name val="Calibri"/>
      <family val="2"/>
    </font>
    <font>
      <b/>
      <sz val="10"/>
      <color rgb="FF000000"/>
      <name val="Calibri"/>
      <family val="2"/>
    </font>
    <font>
      <sz val="12"/>
      <color rgb="FF000000"/>
      <name val="Calibri"/>
      <family val="2"/>
    </font>
    <font>
      <u/>
      <sz val="11"/>
      <color theme="10"/>
      <name val="宋体"/>
      <family val="2"/>
      <scheme val="minor"/>
    </font>
    <font>
      <sz val="10.5"/>
      <color theme="1"/>
      <name val="宋体"/>
      <family val="3"/>
      <charset val="134"/>
      <scheme val="minor"/>
    </font>
    <font>
      <sz val="10.5"/>
      <color theme="1"/>
      <name val="宋体"/>
      <family val="1"/>
      <scheme val="minor"/>
    </font>
    <font>
      <sz val="10.5"/>
      <color theme="1"/>
      <name val="Calibri"/>
      <family val="2"/>
    </font>
    <font>
      <sz val="10.5"/>
      <color theme="1"/>
      <name val="宋体"/>
      <family val="3"/>
      <charset val="134"/>
    </font>
    <font>
      <b/>
      <sz val="12"/>
      <color theme="1"/>
      <name val="宋体"/>
      <family val="2"/>
    </font>
    <font>
      <sz val="12"/>
      <color theme="1"/>
      <name val="宋体"/>
      <family val="3"/>
      <charset val="134"/>
    </font>
    <font>
      <b/>
      <sz val="12"/>
      <color rgb="FFFF0000"/>
      <name val="Calibri"/>
      <family val="2"/>
    </font>
    <font>
      <sz val="11"/>
      <color theme="1"/>
      <name val="宋体"/>
      <family val="3"/>
      <charset val="134"/>
      <scheme val="minor"/>
    </font>
    <font>
      <sz val="10"/>
      <color theme="1"/>
      <name val="宋体"/>
      <family val="3"/>
      <charset val="134"/>
    </font>
    <font>
      <b/>
      <sz val="10"/>
      <color theme="1"/>
      <name val="宋体"/>
      <family val="3"/>
      <charset val="134"/>
    </font>
    <font>
      <sz val="10"/>
      <name val="微软雅黑"/>
      <family val="2"/>
      <charset val="134"/>
    </font>
    <font>
      <sz val="10"/>
      <color rgb="FFFF0000"/>
      <name val="Calibri"/>
      <family val="2"/>
    </font>
    <font>
      <sz val="10"/>
      <color rgb="FFFF0000"/>
      <name val="宋体"/>
      <family val="3"/>
      <charset val="134"/>
    </font>
    <font>
      <sz val="8"/>
      <color theme="1"/>
      <name val="宋体"/>
      <family val="2"/>
      <scheme val="minor"/>
    </font>
    <font>
      <sz val="8"/>
      <color theme="1"/>
      <name val="宋体"/>
      <family val="2"/>
    </font>
    <font>
      <sz val="8"/>
      <color theme="1"/>
      <name val="宋体"/>
      <family val="3"/>
      <charset val="134"/>
    </font>
    <font>
      <sz val="8"/>
      <color theme="1"/>
      <name val="Calibri"/>
      <family val="2"/>
    </font>
    <font>
      <sz val="8"/>
      <color theme="1"/>
      <name val="宋体"/>
      <family val="3"/>
      <charset val="134"/>
      <scheme val="minor"/>
    </font>
    <font>
      <b/>
      <sz val="10"/>
      <color rgb="FFFF0000"/>
      <name val="宋体"/>
      <family val="3"/>
      <charset val="134"/>
    </font>
    <font>
      <b/>
      <sz val="10"/>
      <name val="宋体"/>
      <family val="3"/>
      <charset val="134"/>
    </font>
    <font>
      <sz val="8"/>
      <color rgb="FFFF0000"/>
      <name val="Calibri"/>
      <family val="2"/>
    </font>
    <font>
      <b/>
      <sz val="8"/>
      <color rgb="FFFF0000"/>
      <name val="Calibri"/>
      <family val="2"/>
    </font>
    <font>
      <b/>
      <sz val="10"/>
      <color indexed="12"/>
      <name val="宋体"/>
      <family val="3"/>
      <charset val="134"/>
    </font>
    <font>
      <i/>
      <sz val="8"/>
      <name val="宋体"/>
      <family val="3"/>
      <charset val="134"/>
    </font>
    <font>
      <sz val="8"/>
      <name val="宋体"/>
      <family val="3"/>
      <charset val="134"/>
      <scheme val="minor"/>
    </font>
    <font>
      <sz val="10"/>
      <color theme="1"/>
      <name val="宋体"/>
      <family val="2"/>
    </font>
    <font>
      <sz val="9"/>
      <color theme="1"/>
      <name val="宋体"/>
      <family val="3"/>
      <charset val="134"/>
    </font>
    <font>
      <sz val="7"/>
      <name val="Calibri"/>
      <family val="2"/>
    </font>
    <font>
      <sz val="7"/>
      <name val="宋体"/>
      <family val="3"/>
      <charset val="134"/>
    </font>
    <font>
      <sz val="10"/>
      <color theme="0"/>
      <name val="Calibri"/>
      <family val="2"/>
    </font>
    <font>
      <sz val="8"/>
      <color theme="0"/>
      <name val="Calibri"/>
      <family val="2"/>
    </font>
    <font>
      <sz val="11"/>
      <color theme="0"/>
      <name val="Calibri"/>
      <family val="2"/>
    </font>
    <font>
      <sz val="10"/>
      <color rgb="FF000000"/>
      <name val="宋体"/>
      <family val="3"/>
      <charset val="134"/>
    </font>
    <font>
      <b/>
      <sz val="12"/>
      <color theme="0"/>
      <name val="Calibri"/>
      <family val="2"/>
    </font>
    <font>
      <b/>
      <sz val="9"/>
      <color theme="1"/>
      <name val="宋体"/>
      <family val="3"/>
      <charset val="134"/>
    </font>
    <font>
      <b/>
      <sz val="9"/>
      <color theme="1"/>
      <name val="Calibri"/>
      <family val="2"/>
    </font>
    <font>
      <sz val="10"/>
      <color rgb="FF000000"/>
      <name val="宋体"/>
      <family val="3"/>
      <charset val="134"/>
      <scheme val="minor"/>
    </font>
    <font>
      <u/>
      <sz val="10"/>
      <color theme="10"/>
      <name val="宋体"/>
      <family val="2"/>
      <scheme val="minor"/>
    </font>
    <font>
      <sz val="10"/>
      <color theme="1"/>
      <name val="宋体"/>
      <family val="2"/>
      <scheme val="minor"/>
    </font>
    <font>
      <sz val="11"/>
      <color rgb="FFFF0000"/>
      <name val="Calibri"/>
      <family val="2"/>
    </font>
    <font>
      <b/>
      <sz val="9"/>
      <name val="宋体"/>
      <family val="3"/>
      <charset val="134"/>
    </font>
    <font>
      <b/>
      <sz val="9"/>
      <name val="Calibri"/>
      <family val="2"/>
    </font>
  </fonts>
  <fills count="29">
    <fill>
      <patternFill patternType="none"/>
    </fill>
    <fill>
      <patternFill patternType="gray125"/>
    </fill>
    <fill>
      <patternFill patternType="solid">
        <fgColor indexed="9"/>
        <bgColor indexed="64"/>
      </patternFill>
    </fill>
    <fill>
      <patternFill patternType="solid">
        <fgColor indexed="42"/>
        <bgColor indexed="64"/>
      </patternFill>
    </fill>
    <fill>
      <patternFill patternType="solid">
        <fgColor indexed="22"/>
        <bgColor indexed="64"/>
      </patternFill>
    </fill>
    <fill>
      <patternFill patternType="solid">
        <fgColor indexed="26"/>
        <bgColor indexed="64"/>
      </patternFill>
    </fill>
    <fill>
      <patternFill patternType="mediumGray">
        <fgColor indexed="12"/>
      </patternFill>
    </fill>
    <fill>
      <patternFill patternType="solid">
        <fgColor theme="0"/>
        <bgColor indexed="64"/>
      </patternFill>
    </fill>
    <fill>
      <patternFill patternType="solid">
        <fgColor theme="0" tint="-0.14999847407452621"/>
        <bgColor indexed="64"/>
      </patternFill>
    </fill>
    <fill>
      <patternFill patternType="solid">
        <fgColor rgb="FFCCFFFF"/>
        <bgColor indexed="64"/>
      </patternFill>
    </fill>
    <fill>
      <patternFill patternType="solid">
        <fgColor indexed="9"/>
      </patternFill>
    </fill>
    <fill>
      <patternFill patternType="solid">
        <fgColor indexed="47"/>
      </patternFill>
    </fill>
    <fill>
      <patternFill patternType="solid">
        <fgColor indexed="26"/>
      </patternFill>
    </fill>
    <fill>
      <patternFill patternType="solid">
        <fgColor indexed="27"/>
      </patternFill>
    </fill>
    <fill>
      <patternFill patternType="solid">
        <fgColor indexed="22"/>
      </patternFill>
    </fill>
    <fill>
      <patternFill patternType="solid">
        <fgColor indexed="29"/>
      </patternFill>
    </fill>
    <fill>
      <patternFill patternType="solid">
        <fgColor indexed="43"/>
      </patternFill>
    </fill>
    <fill>
      <patternFill patternType="solid">
        <fgColor indexed="44"/>
      </patternFill>
    </fill>
    <fill>
      <patternFill patternType="solid">
        <fgColor indexed="49"/>
      </patternFill>
    </fill>
    <fill>
      <patternFill patternType="solid">
        <fgColor indexed="19"/>
      </patternFill>
    </fill>
    <fill>
      <patternFill patternType="solid">
        <fgColor indexed="54"/>
      </patternFill>
    </fill>
    <fill>
      <patternFill patternType="solid">
        <fgColor indexed="53"/>
      </patternFill>
    </fill>
    <fill>
      <patternFill patternType="solid">
        <fgColor indexed="45"/>
      </patternFill>
    </fill>
    <fill>
      <patternFill patternType="solid">
        <fgColor indexed="55"/>
      </patternFill>
    </fill>
    <fill>
      <patternFill patternType="solid">
        <fgColor indexed="42"/>
      </patternFill>
    </fill>
    <fill>
      <patternFill patternType="solid">
        <fgColor indexed="45"/>
        <bgColor indexed="64"/>
      </patternFill>
    </fill>
    <fill>
      <patternFill patternType="solid">
        <fgColor rgb="FF4F81BD"/>
        <bgColor indexed="64"/>
      </patternFill>
    </fill>
    <fill>
      <patternFill patternType="solid">
        <fgColor rgb="FFD0D8E8"/>
        <bgColor indexed="64"/>
      </patternFill>
    </fill>
    <fill>
      <patternFill patternType="solid">
        <fgColor rgb="FFE9EDF4"/>
        <bgColor indexed="64"/>
      </patternFill>
    </fill>
  </fills>
  <borders count="137">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top/>
      <bottom/>
      <diagonal/>
    </border>
    <border>
      <left/>
      <right/>
      <top style="medium">
        <color indexed="64"/>
      </top>
      <bottom style="medium">
        <color indexed="64"/>
      </bottom>
      <diagonal/>
    </border>
    <border>
      <left/>
      <right/>
      <top/>
      <bottom style="thin">
        <color indexed="64"/>
      </bottom>
      <diagonal/>
    </border>
    <border>
      <left/>
      <right/>
      <top/>
      <bottom style="double">
        <color auto="1"/>
      </bottom>
      <diagonal/>
    </border>
    <border>
      <left/>
      <right style="thick">
        <color indexed="10"/>
      </right>
      <top style="thick">
        <color indexed="10"/>
      </top>
      <bottom style="thick">
        <color indexed="10"/>
      </bottom>
      <diagonal/>
    </border>
    <border>
      <left/>
      <right/>
      <top style="thick">
        <color indexed="10"/>
      </top>
      <bottom style="thick">
        <color indexed="10"/>
      </bottom>
      <diagonal/>
    </border>
    <border>
      <left style="thick">
        <color indexed="10"/>
      </left>
      <right/>
      <top style="thick">
        <color indexed="10"/>
      </top>
      <bottom style="thick">
        <color indexed="10"/>
      </bottom>
      <diagonal/>
    </border>
    <border>
      <left style="thin">
        <color indexed="64"/>
      </left>
      <right style="thick">
        <color indexed="10"/>
      </right>
      <top style="medium">
        <color indexed="64"/>
      </top>
      <bottom style="thick">
        <color indexed="10"/>
      </bottom>
      <diagonal/>
    </border>
    <border>
      <left style="thin">
        <color indexed="64"/>
      </left>
      <right style="thin">
        <color indexed="64"/>
      </right>
      <top style="medium">
        <color indexed="64"/>
      </top>
      <bottom style="thick">
        <color indexed="10"/>
      </bottom>
      <diagonal/>
    </border>
    <border>
      <left style="thick">
        <color indexed="10"/>
      </left>
      <right style="thin">
        <color indexed="64"/>
      </right>
      <top style="medium">
        <color indexed="64"/>
      </top>
      <bottom style="thick">
        <color indexed="10"/>
      </bottom>
      <diagonal/>
    </border>
    <border>
      <left/>
      <right style="thick">
        <color indexed="10"/>
      </right>
      <top style="thin">
        <color indexed="64"/>
      </top>
      <bottom style="medium">
        <color indexed="64"/>
      </bottom>
      <diagonal/>
    </border>
    <border>
      <left/>
      <right style="thin">
        <color indexed="64"/>
      </right>
      <top style="thin">
        <color indexed="64"/>
      </top>
      <bottom style="medium">
        <color indexed="64"/>
      </bottom>
      <diagonal/>
    </border>
    <border>
      <left style="thick">
        <color indexed="10"/>
      </left>
      <right style="thin">
        <color indexed="64"/>
      </right>
      <top style="thin">
        <color indexed="64"/>
      </top>
      <bottom style="medium">
        <color indexed="64"/>
      </bottom>
      <diagonal/>
    </border>
    <border>
      <left/>
      <right/>
      <top style="thin">
        <color indexed="64"/>
      </top>
      <bottom style="medium">
        <color indexed="64"/>
      </bottom>
      <diagonal/>
    </border>
    <border>
      <left style="thin">
        <color auto="1"/>
      </left>
      <right style="thin">
        <color auto="1"/>
      </right>
      <top style="thin">
        <color auto="1"/>
      </top>
      <bottom style="medium">
        <color indexed="64"/>
      </bottom>
      <diagonal/>
    </border>
    <border>
      <left style="medium">
        <color indexed="64"/>
      </left>
      <right style="thin">
        <color indexed="64"/>
      </right>
      <top style="thin">
        <color indexed="64"/>
      </top>
      <bottom style="medium">
        <color indexed="64"/>
      </bottom>
      <diagonal/>
    </border>
    <border>
      <left/>
      <right style="thick">
        <color indexed="10"/>
      </right>
      <top style="thin">
        <color indexed="64"/>
      </top>
      <bottom style="thin">
        <color indexed="64"/>
      </bottom>
      <diagonal/>
    </border>
    <border>
      <left style="thick">
        <color indexed="10"/>
      </left>
      <right style="thin">
        <color indexed="64"/>
      </right>
      <top style="thin">
        <color indexed="64"/>
      </top>
      <bottom style="thin">
        <color indexed="64"/>
      </bottom>
      <diagonal/>
    </border>
    <border>
      <left style="medium">
        <color indexed="64"/>
      </left>
      <right style="thin">
        <color indexed="64"/>
      </right>
      <top style="thin">
        <color indexed="64"/>
      </top>
      <bottom style="thin">
        <color indexed="64"/>
      </bottom>
      <diagonal/>
    </border>
    <border>
      <left/>
      <right style="thick">
        <color indexed="10"/>
      </right>
      <top/>
      <bottom style="thin">
        <color indexed="64"/>
      </bottom>
      <diagonal/>
    </border>
    <border>
      <left style="thick">
        <color indexed="10"/>
      </left>
      <right style="thin">
        <color indexed="64"/>
      </right>
      <top/>
      <bottom style="thin">
        <color indexed="64"/>
      </bottom>
      <diagonal/>
    </border>
    <border>
      <left/>
      <right style="thick">
        <color indexed="10"/>
      </right>
      <top style="medium">
        <color indexed="64"/>
      </top>
      <bottom style="thin">
        <color indexed="64"/>
      </bottom>
      <diagonal/>
    </border>
    <border>
      <left/>
      <right style="thin">
        <color indexed="64"/>
      </right>
      <top style="medium">
        <color indexed="64"/>
      </top>
      <bottom style="thin">
        <color indexed="64"/>
      </bottom>
      <diagonal/>
    </border>
    <border>
      <left style="thick">
        <color indexed="10"/>
      </left>
      <right style="thin">
        <color indexed="64"/>
      </right>
      <top style="medium">
        <color indexed="64"/>
      </top>
      <bottom style="thin">
        <color indexed="64"/>
      </bottom>
      <diagonal/>
    </border>
    <border>
      <left/>
      <right/>
      <top style="medium">
        <color indexed="64"/>
      </top>
      <bottom style="thin">
        <color indexed="64"/>
      </bottom>
      <diagonal/>
    </border>
    <border>
      <left style="thin">
        <color auto="1"/>
      </left>
      <right style="thin">
        <color auto="1"/>
      </right>
      <top style="medium">
        <color auto="1"/>
      </top>
      <bottom style="thin">
        <color auto="1"/>
      </bottom>
      <diagonal/>
    </border>
    <border>
      <left style="medium">
        <color indexed="64"/>
      </left>
      <right style="thin">
        <color indexed="64"/>
      </right>
      <top style="medium">
        <color indexed="64"/>
      </top>
      <bottom style="thin">
        <color indexed="64"/>
      </bottom>
      <diagonal/>
    </border>
    <border>
      <left/>
      <right style="thick">
        <color indexed="10"/>
      </right>
      <top/>
      <bottom/>
      <diagonal/>
    </border>
    <border>
      <left style="thick">
        <color indexed="10"/>
      </left>
      <right style="thin">
        <color indexed="64"/>
      </right>
      <top style="thin">
        <color indexed="64"/>
      </top>
      <bottom/>
      <diagonal/>
    </border>
    <border>
      <left style="medium">
        <color indexed="64"/>
      </left>
      <right style="thin">
        <color indexed="64"/>
      </right>
      <top/>
      <bottom/>
      <diagonal/>
    </border>
    <border>
      <left/>
      <right style="thick">
        <color indexed="10"/>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style="thin">
        <color indexed="64"/>
      </bottom>
      <diagonal/>
    </border>
    <border>
      <left/>
      <right style="thin">
        <color indexed="64"/>
      </right>
      <top style="medium">
        <color indexed="64"/>
      </top>
      <bottom/>
      <diagonal/>
    </border>
    <border>
      <left style="medium">
        <color indexed="64"/>
      </left>
      <right style="thin">
        <color indexed="64"/>
      </right>
      <top style="medium">
        <color indexed="64"/>
      </top>
      <bottom/>
      <diagonal/>
    </border>
    <border>
      <left/>
      <right style="thick">
        <color indexed="10"/>
      </right>
      <top style="thick">
        <color indexed="10"/>
      </top>
      <bottom style="medium">
        <color indexed="64"/>
      </bottom>
      <diagonal/>
    </border>
    <border>
      <left/>
      <right/>
      <top style="thick">
        <color indexed="10"/>
      </top>
      <bottom style="medium">
        <color indexed="64"/>
      </bottom>
      <diagonal/>
    </border>
    <border>
      <left style="thick">
        <color indexed="10"/>
      </left>
      <right/>
      <top style="thick">
        <color indexed="10"/>
      </top>
      <bottom style="medium">
        <color indexed="64"/>
      </bottom>
      <diagonal/>
    </border>
    <border>
      <left/>
      <right/>
      <top/>
      <bottom style="medium">
        <color auto="1"/>
      </bottom>
      <diagonal/>
    </border>
    <border>
      <left style="thin">
        <color indexed="64"/>
      </left>
      <right style="thick">
        <color rgb="FFFF0000"/>
      </right>
      <top style="thin">
        <color indexed="64"/>
      </top>
      <bottom style="thick">
        <color rgb="FFFF0000"/>
      </bottom>
      <diagonal/>
    </border>
    <border>
      <left style="thin">
        <color auto="1"/>
      </left>
      <right style="thin">
        <color auto="1"/>
      </right>
      <top style="thin">
        <color auto="1"/>
      </top>
      <bottom style="thick">
        <color rgb="FFFF0000"/>
      </bottom>
      <diagonal/>
    </border>
    <border>
      <left style="thick">
        <color rgb="FFFF0000"/>
      </left>
      <right style="thin">
        <color indexed="64"/>
      </right>
      <top style="thin">
        <color indexed="64"/>
      </top>
      <bottom style="thick">
        <color rgb="FFFF0000"/>
      </bottom>
      <diagonal/>
    </border>
    <border>
      <left/>
      <right style="medium">
        <color rgb="FFFF0000"/>
      </right>
      <top style="thin">
        <color theme="1"/>
      </top>
      <bottom style="thick">
        <color indexed="10"/>
      </bottom>
      <diagonal/>
    </border>
    <border>
      <left/>
      <right/>
      <top style="thin">
        <color theme="1"/>
      </top>
      <bottom style="thick">
        <color indexed="10"/>
      </bottom>
      <diagonal/>
    </border>
    <border>
      <left style="medium">
        <color rgb="FFFF0000"/>
      </left>
      <right/>
      <top style="thin">
        <color theme="1"/>
      </top>
      <bottom style="thick">
        <color indexed="10"/>
      </bottom>
      <diagonal/>
    </border>
    <border>
      <left style="thin">
        <color indexed="64"/>
      </left>
      <right style="thick">
        <color rgb="FFFF0000"/>
      </right>
      <top style="thin">
        <color indexed="64"/>
      </top>
      <bottom style="thin">
        <color indexed="64"/>
      </bottom>
      <diagonal/>
    </border>
    <border>
      <left style="thick">
        <color rgb="FFFF0000"/>
      </left>
      <right style="thin">
        <color indexed="64"/>
      </right>
      <top style="thin">
        <color indexed="64"/>
      </top>
      <bottom style="thin">
        <color indexed="64"/>
      </bottom>
      <diagonal/>
    </border>
    <border>
      <left/>
      <right style="medium">
        <color rgb="FFFF0000"/>
      </right>
      <top style="thin">
        <color theme="1"/>
      </top>
      <bottom style="thin">
        <color theme="1"/>
      </bottom>
      <diagonal/>
    </border>
    <border>
      <left/>
      <right/>
      <top style="thin">
        <color theme="1"/>
      </top>
      <bottom style="thin">
        <color theme="1"/>
      </bottom>
      <diagonal/>
    </border>
    <border>
      <left style="medium">
        <color rgb="FFFF0000"/>
      </left>
      <right/>
      <top style="thin">
        <color theme="1"/>
      </top>
      <bottom style="thin">
        <color theme="1"/>
      </bottom>
      <diagonal/>
    </border>
    <border>
      <left style="thin">
        <color indexed="64"/>
      </left>
      <right style="thick">
        <color rgb="FFFF0000"/>
      </right>
      <top style="medium">
        <color indexed="64"/>
      </top>
      <bottom/>
      <diagonal/>
    </border>
    <border>
      <left style="thick">
        <color rgb="FFFF0000"/>
      </left>
      <right style="thin">
        <color indexed="64"/>
      </right>
      <top style="medium">
        <color indexed="64"/>
      </top>
      <bottom/>
      <diagonal/>
    </border>
    <border>
      <left/>
      <right style="medium">
        <color rgb="FFFF0000"/>
      </right>
      <top style="medium">
        <color indexed="64"/>
      </top>
      <bottom style="thin">
        <color theme="1"/>
      </bottom>
      <diagonal/>
    </border>
    <border>
      <left/>
      <right/>
      <top style="medium">
        <color indexed="64"/>
      </top>
      <bottom style="thin">
        <color theme="1"/>
      </bottom>
      <diagonal/>
    </border>
    <border>
      <left style="medium">
        <color rgb="FFFF0000"/>
      </left>
      <right/>
      <top style="medium">
        <color indexed="64"/>
      </top>
      <bottom style="thin">
        <color theme="1"/>
      </bottom>
      <diagonal/>
    </border>
    <border>
      <left/>
      <right style="thick">
        <color rgb="FFFF0000"/>
      </right>
      <top style="thin">
        <color indexed="64"/>
      </top>
      <bottom style="medium">
        <color indexed="64"/>
      </bottom>
      <diagonal/>
    </border>
    <border>
      <left style="thick">
        <color rgb="FFFF0000"/>
      </left>
      <right style="thin">
        <color indexed="64"/>
      </right>
      <top style="thin">
        <color indexed="64"/>
      </top>
      <bottom style="medium">
        <color indexed="64"/>
      </bottom>
      <diagonal/>
    </border>
    <border>
      <left/>
      <right style="thick">
        <color rgb="FFFF0000"/>
      </right>
      <top style="thin">
        <color indexed="64"/>
      </top>
      <bottom style="thin">
        <color indexed="64"/>
      </bottom>
      <diagonal/>
    </border>
    <border>
      <left/>
      <right style="thick">
        <color rgb="FFFF0000"/>
      </right>
      <top/>
      <bottom style="thin">
        <color indexed="64"/>
      </bottom>
      <diagonal/>
    </border>
    <border>
      <left style="thick">
        <color rgb="FFFF0000"/>
      </left>
      <right style="thin">
        <color indexed="64"/>
      </right>
      <top/>
      <bottom style="thin">
        <color indexed="64"/>
      </bottom>
      <diagonal/>
    </border>
    <border>
      <left/>
      <right style="thick">
        <color rgb="FFFF0000"/>
      </right>
      <top style="medium">
        <color indexed="64"/>
      </top>
      <bottom style="thin">
        <color indexed="64"/>
      </bottom>
      <diagonal/>
    </border>
    <border>
      <left style="thick">
        <color rgb="FFFF0000"/>
      </left>
      <right style="thin">
        <color indexed="64"/>
      </right>
      <top style="medium">
        <color indexed="64"/>
      </top>
      <bottom style="thin">
        <color indexed="64"/>
      </bottom>
      <diagonal/>
    </border>
    <border>
      <left/>
      <right style="thick">
        <color rgb="FFFF0000"/>
      </right>
      <top/>
      <bottom/>
      <diagonal/>
    </border>
    <border>
      <left style="thick">
        <color rgb="FFFF0000"/>
      </left>
      <right style="thin">
        <color indexed="64"/>
      </right>
      <top style="thin">
        <color indexed="64"/>
      </top>
      <bottom/>
      <diagonal/>
    </border>
    <border>
      <left/>
      <right style="thick">
        <color rgb="FFFF0000"/>
      </right>
      <top style="medium">
        <color indexed="64"/>
      </top>
      <bottom/>
      <diagonal/>
    </border>
    <border>
      <left/>
      <right style="thick">
        <color rgb="FFFF0000"/>
      </right>
      <top style="thick">
        <color rgb="FFFF0000"/>
      </top>
      <bottom style="medium">
        <color indexed="64"/>
      </bottom>
      <diagonal/>
    </border>
    <border>
      <left/>
      <right/>
      <top style="thick">
        <color rgb="FFFF0000"/>
      </top>
      <bottom style="medium">
        <color indexed="64"/>
      </bottom>
      <diagonal/>
    </border>
    <border>
      <left style="thick">
        <color rgb="FFFF0000"/>
      </left>
      <right/>
      <top style="thick">
        <color rgb="FFFF0000"/>
      </top>
      <bottom style="medium">
        <color indexed="64"/>
      </bottom>
      <diagonal/>
    </border>
    <border>
      <left style="thin">
        <color auto="1"/>
      </left>
      <right/>
      <top style="thin">
        <color auto="1"/>
      </top>
      <bottom style="medium">
        <color indexed="64"/>
      </bottom>
      <diagonal/>
    </border>
    <border>
      <left style="thin">
        <color indexed="64"/>
      </left>
      <right style="thick">
        <color rgb="FFFF0000"/>
      </right>
      <top style="medium">
        <color indexed="64"/>
      </top>
      <bottom style="thin">
        <color indexed="64"/>
      </bottom>
      <diagonal/>
    </border>
    <border>
      <left/>
      <right style="thick">
        <color rgb="FFFF0000"/>
      </right>
      <top/>
      <bottom style="medium">
        <color indexed="64"/>
      </bottom>
      <diagonal/>
    </border>
    <border>
      <left style="thin">
        <color indexed="23"/>
      </left>
      <right style="thin">
        <color indexed="23"/>
      </right>
      <top style="thin">
        <color indexed="23"/>
      </top>
      <bottom style="thin">
        <color indexed="23"/>
      </bottom>
      <diagonal/>
    </border>
    <border>
      <left style="double">
        <color indexed="63"/>
      </left>
      <right style="double">
        <color indexed="63"/>
      </right>
      <top style="double">
        <color indexed="63"/>
      </top>
      <bottom style="double">
        <color indexed="63"/>
      </bottom>
      <diagonal/>
    </border>
    <border>
      <left/>
      <right/>
      <top/>
      <bottom style="thick">
        <color indexed="49"/>
      </bottom>
      <diagonal/>
    </border>
    <border>
      <left/>
      <right/>
      <top/>
      <bottom style="thick">
        <color indexed="22"/>
      </bottom>
      <diagonal/>
    </border>
    <border>
      <left/>
      <right/>
      <top/>
      <bottom style="medium">
        <color indexed="49"/>
      </bottom>
      <diagonal/>
    </border>
    <border>
      <left/>
      <right/>
      <top/>
      <bottom style="double">
        <color indexed="52"/>
      </bottom>
      <diagonal/>
    </border>
    <border>
      <left style="thin">
        <color indexed="22"/>
      </left>
      <right style="thin">
        <color indexed="22"/>
      </right>
      <top style="thin">
        <color indexed="22"/>
      </top>
      <bottom style="thin">
        <color indexed="22"/>
      </bottom>
      <diagonal/>
    </border>
    <border>
      <left style="thin">
        <color indexed="63"/>
      </left>
      <right style="thin">
        <color indexed="63"/>
      </right>
      <top style="thin">
        <color indexed="63"/>
      </top>
      <bottom style="thin">
        <color indexed="63"/>
      </bottom>
      <diagonal/>
    </border>
    <border>
      <left/>
      <right/>
      <top style="thin">
        <color indexed="49"/>
      </top>
      <bottom style="double">
        <color indexed="49"/>
      </bottom>
      <diagonal/>
    </border>
    <border>
      <left style="thick">
        <color indexed="10"/>
      </left>
      <right style="thick">
        <color indexed="10"/>
      </right>
      <top/>
      <bottom style="medium">
        <color indexed="64"/>
      </bottom>
      <diagonal/>
    </border>
    <border>
      <left style="thick">
        <color indexed="10"/>
      </left>
      <right style="thick">
        <color indexed="10"/>
      </right>
      <top/>
      <bottom/>
      <diagonal/>
    </border>
    <border>
      <left style="thick">
        <color indexed="10"/>
      </left>
      <right/>
      <top style="medium">
        <color indexed="64"/>
      </top>
      <bottom style="thin">
        <color indexed="64"/>
      </bottom>
      <diagonal/>
    </border>
    <border>
      <left style="thick">
        <color indexed="10"/>
      </left>
      <right style="thin">
        <color indexed="64"/>
      </right>
      <top/>
      <bottom/>
      <diagonal/>
    </border>
    <border>
      <left style="thin">
        <color indexed="64"/>
      </left>
      <right style="thick">
        <color indexed="10"/>
      </right>
      <top/>
      <bottom/>
      <diagonal/>
    </border>
    <border>
      <left style="medium">
        <color indexed="64"/>
      </left>
      <right style="thin">
        <color indexed="64"/>
      </right>
      <top/>
      <bottom style="thin">
        <color indexed="64"/>
      </bottom>
      <diagonal/>
    </border>
    <border>
      <left style="medium">
        <color rgb="FFFFFFFF"/>
      </left>
      <right/>
      <top style="medium">
        <color rgb="FFFFFFFF"/>
      </top>
      <bottom/>
      <diagonal/>
    </border>
    <border>
      <left style="medium">
        <color rgb="FFFFFFFF"/>
      </left>
      <right/>
      <top/>
      <bottom style="medium">
        <color rgb="FFFFFFFF"/>
      </bottom>
      <diagonal/>
    </border>
    <border>
      <left style="medium">
        <color rgb="FFFFFFFF"/>
      </left>
      <right/>
      <top/>
      <bottom style="thick">
        <color rgb="FFFFFFFF"/>
      </bottom>
      <diagonal/>
    </border>
    <border>
      <left/>
      <right style="medium">
        <color rgb="FFFFFFFF"/>
      </right>
      <top/>
      <bottom style="thick">
        <color rgb="FFFFFFFF"/>
      </bottom>
      <diagonal/>
    </border>
    <border>
      <left style="medium">
        <color rgb="FFFFFFFF"/>
      </left>
      <right/>
      <top style="medium">
        <color rgb="FFFFFFFF"/>
      </top>
      <bottom style="thick">
        <color rgb="FFFFFFFF"/>
      </bottom>
      <diagonal/>
    </border>
    <border>
      <left style="medium">
        <color rgb="FFFFFFFF"/>
      </left>
      <right/>
      <top style="thick">
        <color rgb="FFFFFFFF"/>
      </top>
      <bottom style="medium">
        <color rgb="FFFFFFFF"/>
      </bottom>
      <diagonal/>
    </border>
    <border>
      <left/>
      <right style="medium">
        <color rgb="FFFFFFFF"/>
      </right>
      <top style="thick">
        <color rgb="FFFFFFFF"/>
      </top>
      <bottom style="medium">
        <color rgb="FFFFFFFF"/>
      </bottom>
      <diagonal/>
    </border>
    <border>
      <left style="medium">
        <color rgb="FFFFFFFF"/>
      </left>
      <right style="medium">
        <color rgb="FFFFFFFF"/>
      </right>
      <top style="thick">
        <color rgb="FFFFFFFF"/>
      </top>
      <bottom style="medium">
        <color rgb="FFFFFFFF"/>
      </bottom>
      <diagonal/>
    </border>
    <border>
      <left style="medium">
        <color rgb="FFFFFFFF"/>
      </left>
      <right style="medium">
        <color rgb="FFFFFFFF"/>
      </right>
      <top/>
      <bottom style="medium">
        <color rgb="FFFFFFFF"/>
      </bottom>
      <diagonal/>
    </border>
    <border>
      <left style="medium">
        <color rgb="FFFFFFFF"/>
      </left>
      <right/>
      <top style="medium">
        <color rgb="FFFFFFFF"/>
      </top>
      <bottom style="medium">
        <color rgb="FFFFFFFF"/>
      </bottom>
      <diagonal/>
    </border>
    <border>
      <left/>
      <right style="medium">
        <color rgb="FFFFFFFF"/>
      </right>
      <top style="medium">
        <color rgb="FFFFFFFF"/>
      </top>
      <bottom style="medium">
        <color rgb="FFFFFFFF"/>
      </bottom>
      <diagonal/>
    </border>
    <border>
      <left style="medium">
        <color rgb="FFFFFFFF"/>
      </left>
      <right style="medium">
        <color rgb="FFFFFFFF"/>
      </right>
      <top style="medium">
        <color rgb="FFFFFFFF"/>
      </top>
      <bottom style="medium">
        <color rgb="FFFFFFFF"/>
      </bottom>
      <diagonal/>
    </border>
    <border>
      <left/>
      <right style="medium">
        <color rgb="FFFFFFFF"/>
      </right>
      <top style="medium">
        <color rgb="FFFFFFFF"/>
      </top>
      <bottom style="thick">
        <color rgb="FFFFFFFF"/>
      </bottom>
      <diagonal/>
    </border>
    <border>
      <left style="medium">
        <color rgb="FFFFFFFF"/>
      </left>
      <right style="medium">
        <color rgb="FFFFFFFF"/>
      </right>
      <top style="medium">
        <color rgb="FFFFFFFF"/>
      </top>
      <bottom/>
      <diagonal/>
    </border>
    <border>
      <left style="medium">
        <color rgb="FFFFFFFF"/>
      </left>
      <right style="medium">
        <color rgb="FFFFFFFF"/>
      </right>
      <top/>
      <bottom/>
      <diagonal/>
    </border>
    <border>
      <left style="medium">
        <color rgb="FFFFFFFF"/>
      </left>
      <right/>
      <top/>
      <bottom/>
      <diagonal/>
    </border>
    <border>
      <left style="medium">
        <color rgb="FFFF0000"/>
      </left>
      <right/>
      <top style="thin">
        <color theme="1"/>
      </top>
      <bottom/>
      <diagonal/>
    </border>
    <border>
      <left/>
      <right/>
      <top style="thin">
        <color theme="1"/>
      </top>
      <bottom/>
      <diagonal/>
    </border>
    <border>
      <left/>
      <right style="medium">
        <color rgb="FFFF0000"/>
      </right>
      <top style="thin">
        <color theme="1"/>
      </top>
      <bottom/>
      <diagonal/>
    </border>
    <border>
      <left style="thin">
        <color indexed="64"/>
      </left>
      <right style="thick">
        <color rgb="FFFF0000"/>
      </right>
      <top style="thin">
        <color indexed="64"/>
      </top>
      <bottom/>
      <diagonal/>
    </border>
    <border>
      <left/>
      <right/>
      <top/>
      <bottom style="double">
        <color indexed="64"/>
      </bottom>
      <diagonal/>
    </border>
    <border>
      <left/>
      <right/>
      <top style="double">
        <color indexed="64"/>
      </top>
      <bottom/>
      <diagonal/>
    </border>
    <border>
      <left style="medium">
        <color theme="4"/>
      </left>
      <right/>
      <top style="medium">
        <color theme="4"/>
      </top>
      <bottom/>
      <diagonal/>
    </border>
    <border>
      <left/>
      <right/>
      <top style="medium">
        <color theme="4"/>
      </top>
      <bottom/>
      <diagonal/>
    </border>
    <border>
      <left/>
      <right style="medium">
        <color theme="4"/>
      </right>
      <top style="medium">
        <color theme="4"/>
      </top>
      <bottom/>
      <diagonal/>
    </border>
    <border>
      <left style="medium">
        <color theme="4"/>
      </left>
      <right/>
      <top/>
      <bottom/>
      <diagonal/>
    </border>
    <border>
      <left/>
      <right style="medium">
        <color theme="4"/>
      </right>
      <top/>
      <bottom/>
      <diagonal/>
    </border>
    <border>
      <left style="medium">
        <color theme="4"/>
      </left>
      <right/>
      <top/>
      <bottom style="medium">
        <color theme="4"/>
      </bottom>
      <diagonal/>
    </border>
    <border>
      <left/>
      <right/>
      <top/>
      <bottom style="medium">
        <color theme="4"/>
      </bottom>
      <diagonal/>
    </border>
    <border>
      <left/>
      <right style="medium">
        <color theme="4"/>
      </right>
      <top/>
      <bottom style="medium">
        <color theme="4"/>
      </bottom>
      <diagonal/>
    </border>
    <border>
      <left/>
      <right/>
      <top style="thin">
        <color indexed="64"/>
      </top>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thin">
        <color indexed="64"/>
      </left>
      <right style="medium">
        <color indexed="64"/>
      </right>
      <top style="thin">
        <color indexed="64"/>
      </top>
      <bottom style="medium">
        <color indexed="64"/>
      </bottom>
      <diagonal/>
    </border>
    <border>
      <left style="thin">
        <color indexed="64"/>
      </left>
      <right/>
      <top style="thin">
        <color indexed="64"/>
      </top>
      <bottom/>
      <diagonal/>
    </border>
    <border>
      <left style="thin">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diagonal/>
    </border>
    <border>
      <left/>
      <right/>
      <top style="medium">
        <color indexed="64"/>
      </top>
      <bottom/>
      <diagonal/>
    </border>
  </borders>
  <cellStyleXfs count="623">
    <xf numFmtId="0" fontId="0" fillId="0" borderId="0"/>
    <xf numFmtId="0" fontId="3" fillId="0" borderId="0"/>
    <xf numFmtId="0" fontId="3" fillId="0" borderId="0">
      <alignment vertical="center"/>
    </xf>
    <xf numFmtId="0" fontId="4" fillId="0" borderId="0"/>
    <xf numFmtId="0" fontId="3" fillId="0" borderId="0"/>
    <xf numFmtId="9" fontId="3" fillId="0" borderId="0" applyFont="0" applyFill="0" applyBorder="0" applyAlignment="0" applyProtection="0">
      <alignment vertical="center"/>
    </xf>
    <xf numFmtId="0" fontId="3" fillId="0" borderId="0"/>
    <xf numFmtId="0" fontId="3" fillId="0" borderId="0">
      <alignment vertical="center"/>
    </xf>
    <xf numFmtId="0" fontId="3" fillId="0" borderId="0"/>
    <xf numFmtId="0" fontId="11" fillId="0" borderId="0">
      <alignment vertical="center"/>
    </xf>
    <xf numFmtId="43" fontId="3" fillId="0" borderId="0" applyFont="0" applyFill="0" applyBorder="0" applyAlignment="0" applyProtection="0">
      <alignment vertical="center"/>
    </xf>
    <xf numFmtId="0" fontId="3" fillId="0" borderId="0">
      <alignment vertical="center"/>
    </xf>
    <xf numFmtId="190" fontId="16" fillId="0" borderId="0" applyFont="0" applyFill="0" applyBorder="0" applyAlignment="0" applyProtection="0"/>
    <xf numFmtId="191" fontId="4" fillId="0" borderId="0" applyFont="0" applyFill="0" applyBorder="0" applyAlignment="0" applyProtection="0"/>
    <xf numFmtId="192" fontId="16" fillId="0" borderId="0" applyFont="0" applyFill="0" applyBorder="0" applyAlignment="0" applyProtection="0"/>
    <xf numFmtId="193" fontId="16" fillId="0" borderId="0" applyFont="0" applyFill="0" applyBorder="0" applyAlignment="0" applyProtection="0"/>
    <xf numFmtId="194" fontId="16" fillId="0" borderId="0" applyFont="0" applyFill="0" applyBorder="0" applyAlignment="0" applyProtection="0"/>
    <xf numFmtId="195" fontId="4" fillId="0" borderId="0" applyFont="0" applyFill="0" applyBorder="0" applyAlignment="0" applyProtection="0"/>
    <xf numFmtId="0" fontId="20" fillId="0" borderId="0"/>
    <xf numFmtId="0" fontId="4" fillId="0" borderId="0"/>
    <xf numFmtId="0" fontId="4" fillId="0" borderId="0"/>
    <xf numFmtId="196" fontId="4" fillId="0" borderId="0" applyFont="0" applyFill="0" applyBorder="0" applyAlignment="0" applyProtection="0"/>
    <xf numFmtId="0" fontId="4" fillId="0" borderId="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7"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8" fontId="4"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38" fontId="21"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38" fontId="22" fillId="0" borderId="0" applyFont="0" applyFill="0" applyBorder="0" applyAlignment="0" applyProtection="0"/>
    <xf numFmtId="38" fontId="22"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199" fontId="4" fillId="0" borderId="0" applyFont="0" applyFill="0" applyBorder="0" applyAlignment="0" applyProtection="0"/>
    <xf numFmtId="0" fontId="4" fillId="0" borderId="0"/>
    <xf numFmtId="196" fontId="4" fillId="0" borderId="0" applyFont="0" applyFill="0" applyBorder="0" applyAlignment="0" applyProtection="0"/>
    <xf numFmtId="0" fontId="4" fillId="0" borderId="0"/>
    <xf numFmtId="196" fontId="4" fillId="0" borderId="0" applyFont="0" applyFill="0" applyBorder="0" applyAlignment="0" applyProtection="0"/>
    <xf numFmtId="0" fontId="4" fillId="0" borderId="0"/>
    <xf numFmtId="196" fontId="4" fillId="0" borderId="0" applyFont="0" applyFill="0" applyBorder="0" applyAlignment="0" applyProtection="0"/>
    <xf numFmtId="0" fontId="4" fillId="0" borderId="0"/>
    <xf numFmtId="196" fontId="4" fillId="0" borderId="0" applyFont="0" applyFill="0" applyBorder="0" applyAlignment="0" applyProtection="0"/>
    <xf numFmtId="0" fontId="4" fillId="0" borderId="0"/>
    <xf numFmtId="196" fontId="4" fillId="0" borderId="0" applyFont="0" applyFill="0" applyBorder="0" applyAlignment="0" applyProtection="0"/>
    <xf numFmtId="0" fontId="4" fillId="0" borderId="0"/>
    <xf numFmtId="0" fontId="21" fillId="0" borderId="0"/>
    <xf numFmtId="0" fontId="4" fillId="0" borderId="0"/>
    <xf numFmtId="0" fontId="4" fillId="0" borderId="0"/>
    <xf numFmtId="196" fontId="4" fillId="0" borderId="0" applyFont="0" applyFill="0" applyBorder="0" applyAlignment="0" applyProtection="0"/>
    <xf numFmtId="0" fontId="22" fillId="0" borderId="0"/>
    <xf numFmtId="0" fontId="22" fillId="0" borderId="0"/>
    <xf numFmtId="0" fontId="4" fillId="0" borderId="0"/>
    <xf numFmtId="196" fontId="4" fillId="0" borderId="0" applyFont="0" applyFill="0" applyBorder="0" applyAlignment="0" applyProtection="0"/>
    <xf numFmtId="0" fontId="4" fillId="0" borderId="0"/>
    <xf numFmtId="0" fontId="4" fillId="0" borderId="0"/>
    <xf numFmtId="0" fontId="4" fillId="0" borderId="0"/>
    <xf numFmtId="0" fontId="4" fillId="0" borderId="0"/>
    <xf numFmtId="196" fontId="4" fillId="0" borderId="0" applyFont="0" applyFill="0" applyBorder="0" applyAlignment="0" applyProtection="0"/>
    <xf numFmtId="0" fontId="4" fillId="0" borderId="0"/>
    <xf numFmtId="196" fontId="4" fillId="0" borderId="0" applyFont="0" applyFill="0" applyBorder="0" applyAlignment="0" applyProtection="0"/>
    <xf numFmtId="0" fontId="4" fillId="0" borderId="0"/>
    <xf numFmtId="0" fontId="4" fillId="0" borderId="0"/>
    <xf numFmtId="0" fontId="4" fillId="0" borderId="0"/>
    <xf numFmtId="196" fontId="4" fillId="0" borderId="0" applyFont="0" applyFill="0" applyBorder="0" applyAlignment="0" applyProtection="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4" fillId="0" borderId="0"/>
    <xf numFmtId="0" fontId="23" fillId="0" borderId="0">
      <alignment vertical="top"/>
    </xf>
    <xf numFmtId="0" fontId="23" fillId="0" borderId="0">
      <alignment vertical="top"/>
    </xf>
    <xf numFmtId="0" fontId="4" fillId="0" borderId="0"/>
    <xf numFmtId="0" fontId="4" fillId="0" borderId="0"/>
    <xf numFmtId="0" fontId="4" fillId="0" borderId="0"/>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4" fillId="0" borderId="0"/>
    <xf numFmtId="200" fontId="4" fillId="0" borderId="0" applyFont="0" applyFill="0" applyBorder="0" applyAlignment="0" applyProtection="0"/>
    <xf numFmtId="201" fontId="4" fillId="0" borderId="0" applyFont="0" applyFill="0" applyBorder="0" applyAlignment="0" applyProtection="0"/>
    <xf numFmtId="202" fontId="24" fillId="0" borderId="0" applyFont="0" applyFill="0" applyBorder="0" applyAlignment="0" applyProtection="0"/>
    <xf numFmtId="203" fontId="24" fillId="0" borderId="0" applyFont="0" applyFill="0" applyBorder="0" applyAlignment="0" applyProtection="0"/>
    <xf numFmtId="0" fontId="16" fillId="0" borderId="0"/>
    <xf numFmtId="192" fontId="16" fillId="0" borderId="0" applyFont="0" applyFill="0" applyBorder="0" applyAlignment="0" applyProtection="0"/>
    <xf numFmtId="193" fontId="16" fillId="0" borderId="0" applyFont="0" applyFill="0" applyBorder="0" applyAlignment="0" applyProtection="0"/>
    <xf numFmtId="0" fontId="25" fillId="0" borderId="0"/>
    <xf numFmtId="0" fontId="16" fillId="0" borderId="0" applyFont="0" applyFill="0" applyBorder="0" applyAlignment="0" applyProtection="0"/>
    <xf numFmtId="0" fontId="26" fillId="0" borderId="0" applyFont="0" applyFill="0" applyBorder="0" applyAlignment="0" applyProtection="0"/>
    <xf numFmtId="0" fontId="16" fillId="0" borderId="0" applyFont="0" applyFill="0" applyBorder="0" applyAlignment="0" applyProtection="0"/>
    <xf numFmtId="0" fontId="26" fillId="0" borderId="0" applyFont="0" applyFill="0" applyBorder="0" applyAlignment="0" applyProtection="0"/>
    <xf numFmtId="204" fontId="27" fillId="0" borderId="0" applyFont="0" applyFill="0" applyBorder="0" applyAlignment="0" applyProtection="0"/>
    <xf numFmtId="205" fontId="26" fillId="0" borderId="0" applyFont="0" applyFill="0" applyBorder="0" applyAlignment="0" applyProtection="0"/>
    <xf numFmtId="206" fontId="16" fillId="0" borderId="0" applyFont="0" applyFill="0" applyBorder="0" applyAlignment="0" applyProtection="0"/>
    <xf numFmtId="206" fontId="16" fillId="0" borderId="0" applyFont="0" applyFill="0" applyBorder="0" applyAlignment="0" applyProtection="0"/>
    <xf numFmtId="206" fontId="16" fillId="0" borderId="0" applyFont="0" applyFill="0" applyBorder="0" applyAlignment="0" applyProtection="0"/>
    <xf numFmtId="206" fontId="16" fillId="0" borderId="0" applyFont="0" applyFill="0" applyBorder="0" applyAlignment="0" applyProtection="0"/>
    <xf numFmtId="206" fontId="16" fillId="0" borderId="0" applyFont="0" applyFill="0" applyBorder="0" applyAlignment="0" applyProtection="0"/>
    <xf numFmtId="206" fontId="16" fillId="0" borderId="0" applyFont="0" applyFill="0" applyBorder="0" applyAlignment="0" applyProtection="0"/>
    <xf numFmtId="206" fontId="16" fillId="0" borderId="0" applyFont="0" applyFill="0" applyBorder="0" applyAlignment="0" applyProtection="0"/>
    <xf numFmtId="206" fontId="16" fillId="0" borderId="0" applyFont="0" applyFill="0" applyBorder="0" applyAlignment="0" applyProtection="0"/>
    <xf numFmtId="207" fontId="16" fillId="0" borderId="0" applyFont="0" applyFill="0" applyBorder="0" applyAlignment="0" applyProtection="0"/>
    <xf numFmtId="207" fontId="16" fillId="0" borderId="0" applyFont="0" applyFill="0" applyBorder="0" applyAlignment="0" applyProtection="0"/>
    <xf numFmtId="207" fontId="16" fillId="0" borderId="0" applyFont="0" applyFill="0" applyBorder="0" applyAlignment="0" applyProtection="0"/>
    <xf numFmtId="207" fontId="16" fillId="0" borderId="0" applyFont="0" applyFill="0" applyBorder="0" applyAlignment="0" applyProtection="0"/>
    <xf numFmtId="207" fontId="16" fillId="0" borderId="0" applyFont="0" applyFill="0" applyBorder="0" applyAlignment="0" applyProtection="0"/>
    <xf numFmtId="207" fontId="16" fillId="0" borderId="0" applyFont="0" applyFill="0" applyBorder="0" applyAlignment="0" applyProtection="0"/>
    <xf numFmtId="207" fontId="16" fillId="0" borderId="0" applyFont="0" applyFill="0" applyBorder="0" applyAlignment="0" applyProtection="0"/>
    <xf numFmtId="207" fontId="16" fillId="0" borderId="0" applyFont="0" applyFill="0" applyBorder="0" applyAlignment="0" applyProtection="0"/>
    <xf numFmtId="181" fontId="26" fillId="0" borderId="0" applyFont="0" applyFill="0" applyBorder="0" applyAlignment="0" applyProtection="0"/>
    <xf numFmtId="208" fontId="26" fillId="0" borderId="0" applyFont="0" applyFill="0" applyBorder="0" applyAlignment="0" applyProtection="0"/>
    <xf numFmtId="0" fontId="4" fillId="0" borderId="0" applyFill="0" applyBorder="0" applyAlignment="0"/>
    <xf numFmtId="209" fontId="28" fillId="0" borderId="0" applyFill="0" applyBorder="0" applyAlignment="0"/>
    <xf numFmtId="210" fontId="28" fillId="0" borderId="0" applyFill="0" applyBorder="0" applyAlignment="0"/>
    <xf numFmtId="211" fontId="28" fillId="0" borderId="0" applyFill="0" applyBorder="0" applyAlignment="0"/>
    <xf numFmtId="212" fontId="28" fillId="0" borderId="0" applyFill="0" applyBorder="0" applyAlignment="0"/>
    <xf numFmtId="213" fontId="28" fillId="0" borderId="0" applyFill="0" applyBorder="0" applyAlignment="0"/>
    <xf numFmtId="214" fontId="28" fillId="0" borderId="0" applyFill="0" applyBorder="0" applyAlignment="0"/>
    <xf numFmtId="209" fontId="28" fillId="0" borderId="0" applyFill="0" applyBorder="0" applyAlignment="0"/>
    <xf numFmtId="41" fontId="4" fillId="0" borderId="0" applyFont="0" applyFill="0" applyBorder="0" applyAlignment="0" applyProtection="0"/>
    <xf numFmtId="213" fontId="28" fillId="0" borderId="0" applyFont="0" applyFill="0" applyBorder="0" applyAlignment="0" applyProtection="0"/>
    <xf numFmtId="40" fontId="29" fillId="0" borderId="0" applyFont="0" applyFill="0" applyBorder="0" applyAlignment="0" applyProtection="0"/>
    <xf numFmtId="215" fontId="24" fillId="0" borderId="0" applyFont="0" applyFill="0" applyBorder="0" applyAlignment="0" applyProtection="0"/>
    <xf numFmtId="209" fontId="28" fillId="0" borderId="0" applyFont="0" applyFill="0" applyBorder="0" applyAlignment="0" applyProtection="0"/>
    <xf numFmtId="216" fontId="24" fillId="0" borderId="0" applyFont="0" applyFill="0" applyBorder="0" applyAlignment="0" applyProtection="0"/>
    <xf numFmtId="14" fontId="23" fillId="0" borderId="0" applyFill="0" applyBorder="0" applyAlignment="0"/>
    <xf numFmtId="213" fontId="28" fillId="0" borderId="0" applyFill="0" applyBorder="0" applyAlignment="0"/>
    <xf numFmtId="209" fontId="28" fillId="0" borderId="0" applyFill="0" applyBorder="0" applyAlignment="0"/>
    <xf numFmtId="213" fontId="28" fillId="0" borderId="0" applyFill="0" applyBorder="0" applyAlignment="0"/>
    <xf numFmtId="214" fontId="28" fillId="0" borderId="0" applyFill="0" applyBorder="0" applyAlignment="0"/>
    <xf numFmtId="209" fontId="28" fillId="0" borderId="0" applyFill="0" applyBorder="0" applyAlignment="0"/>
    <xf numFmtId="217" fontId="3" fillId="0" borderId="0" applyFont="0" applyFill="0" applyBorder="0" applyAlignment="0" applyProtection="0"/>
    <xf numFmtId="0" fontId="30" fillId="0" borderId="0" applyNumberFormat="0" applyFill="0" applyBorder="0" applyAlignment="0" applyProtection="0">
      <alignment vertical="top"/>
      <protection locked="0"/>
    </xf>
    <xf numFmtId="38" fontId="31" fillId="4" borderId="0" applyNumberFormat="0" applyBorder="0" applyAlignment="0" applyProtection="0"/>
    <xf numFmtId="0" fontId="14" fillId="0" borderId="13" applyNumberFormat="0" applyAlignment="0" applyProtection="0">
      <alignment horizontal="left" vertical="center"/>
    </xf>
    <xf numFmtId="0" fontId="14" fillId="0" borderId="3">
      <alignment horizontal="left" vertical="center"/>
    </xf>
    <xf numFmtId="0" fontId="32" fillId="0" borderId="0" applyNumberFormat="0" applyFill="0" applyBorder="0" applyAlignment="0" applyProtection="0">
      <alignment vertical="top"/>
      <protection locked="0"/>
    </xf>
    <xf numFmtId="202" fontId="24" fillId="0" borderId="0" applyFont="0" applyFill="0" applyBorder="0" applyAlignment="0" applyProtection="0"/>
    <xf numFmtId="203" fontId="24" fillId="0" borderId="0" applyFont="0" applyFill="0" applyBorder="0" applyAlignment="0" applyProtection="0"/>
    <xf numFmtId="10" fontId="31" fillId="5" borderId="1" applyNumberFormat="0" applyBorder="0" applyAlignment="0" applyProtection="0"/>
    <xf numFmtId="0" fontId="25" fillId="0" borderId="0"/>
    <xf numFmtId="213" fontId="28" fillId="0" borderId="0" applyFill="0" applyBorder="0" applyAlignment="0"/>
    <xf numFmtId="209" fontId="28" fillId="0" borderId="0" applyFill="0" applyBorder="0" applyAlignment="0"/>
    <xf numFmtId="213" fontId="28" fillId="0" borderId="0" applyFill="0" applyBorder="0" applyAlignment="0"/>
    <xf numFmtId="214" fontId="28" fillId="0" borderId="0" applyFill="0" applyBorder="0" applyAlignment="0"/>
    <xf numFmtId="209" fontId="28" fillId="0" borderId="0" applyFill="0" applyBorder="0" applyAlignment="0"/>
    <xf numFmtId="218" fontId="33" fillId="0" borderId="0"/>
    <xf numFmtId="0" fontId="29" fillId="0" borderId="0"/>
    <xf numFmtId="0" fontId="16" fillId="0" borderId="0" applyFont="0" applyFill="0" applyBorder="0" applyAlignment="0" applyProtection="0"/>
    <xf numFmtId="0" fontId="26" fillId="0" borderId="0" applyFont="0" applyFill="0" applyBorder="0" applyAlignment="0" applyProtection="0"/>
    <xf numFmtId="37" fontId="28" fillId="0" borderId="0"/>
    <xf numFmtId="219" fontId="34" fillId="0" borderId="0" applyFont="0" applyFill="0" applyBorder="0" applyAlignment="0" applyProtection="0"/>
    <xf numFmtId="220" fontId="4" fillId="0" borderId="0" applyFont="0" applyFill="0" applyBorder="0" applyAlignment="0" applyProtection="0"/>
    <xf numFmtId="10" fontId="4" fillId="0" borderId="0" applyFont="0" applyFill="0" applyBorder="0" applyAlignment="0" applyProtection="0"/>
    <xf numFmtId="221" fontId="34" fillId="0" borderId="0" applyFill="0" applyBorder="0" applyAlignment="0"/>
    <xf numFmtId="222" fontId="34" fillId="0" borderId="0" applyFill="0" applyBorder="0" applyAlignment="0"/>
    <xf numFmtId="221" fontId="34" fillId="0" borderId="0" applyFill="0" applyBorder="0" applyAlignment="0"/>
    <xf numFmtId="223" fontId="34" fillId="0" borderId="0" applyFill="0" applyBorder="0" applyAlignment="0"/>
    <xf numFmtId="222" fontId="34" fillId="0" borderId="0" applyFill="0" applyBorder="0" applyAlignment="0"/>
    <xf numFmtId="0" fontId="15" fillId="6" borderId="2" applyBorder="0"/>
    <xf numFmtId="0" fontId="35" fillId="0" borderId="0">
      <alignment vertical="top" wrapText="1"/>
    </xf>
    <xf numFmtId="49" fontId="23" fillId="0" borderId="0" applyFill="0" applyBorder="0" applyAlignment="0"/>
    <xf numFmtId="224" fontId="34" fillId="0" borderId="0" applyFill="0" applyBorder="0" applyAlignment="0"/>
    <xf numFmtId="221" fontId="34" fillId="0" borderId="0" applyFill="0" applyBorder="0" applyAlignment="0"/>
    <xf numFmtId="0" fontId="36" fillId="0" borderId="0"/>
    <xf numFmtId="0" fontId="3" fillId="0" borderId="0"/>
    <xf numFmtId="0" fontId="20" fillId="0" borderId="0"/>
    <xf numFmtId="9" fontId="3" fillId="0" borderId="0" applyFont="0" applyFill="0" applyBorder="0" applyAlignment="0" applyProtection="0">
      <alignment vertical="center"/>
    </xf>
    <xf numFmtId="184" fontId="37" fillId="0" borderId="0" applyFont="0" applyFill="0" applyBorder="0" applyAlignment="0" applyProtection="0"/>
    <xf numFmtId="0" fontId="38" fillId="0" borderId="0" applyFont="0" applyFill="0" applyBorder="0" applyAlignment="0" applyProtection="0"/>
    <xf numFmtId="0" fontId="3" fillId="0" borderId="0"/>
    <xf numFmtId="0" fontId="39" fillId="0" borderId="0" applyNumberFormat="0" applyFill="0" applyBorder="0" applyAlignment="0" applyProtection="0">
      <alignment vertical="top"/>
      <protection locked="0"/>
    </xf>
    <xf numFmtId="0" fontId="16" fillId="0" borderId="0" applyFont="0" applyFill="0" applyBorder="0" applyAlignment="0" applyProtection="0"/>
    <xf numFmtId="0" fontId="26" fillId="0" borderId="0" applyFont="0" applyFill="0" applyBorder="0" applyAlignment="0" applyProtection="0"/>
    <xf numFmtId="0" fontId="40" fillId="0" borderId="0" applyNumberFormat="0" applyFill="0" applyBorder="0" applyAlignment="0" applyProtection="0">
      <alignment vertical="top"/>
      <protection locked="0"/>
    </xf>
    <xf numFmtId="196" fontId="16" fillId="0" borderId="0" applyFont="0" applyFill="0" applyBorder="0" applyAlignment="0" applyProtection="0"/>
    <xf numFmtId="197" fontId="16" fillId="0" borderId="0" applyFont="0" applyFill="0" applyBorder="0" applyAlignment="0" applyProtection="0"/>
    <xf numFmtId="0" fontId="26" fillId="0" borderId="0" applyFont="0" applyFill="0" applyBorder="0" applyAlignment="0" applyProtection="0"/>
    <xf numFmtId="225" fontId="26" fillId="0" borderId="0" applyFont="0" applyFill="0" applyBorder="0" applyAlignment="0" applyProtection="0"/>
    <xf numFmtId="0" fontId="4" fillId="0" borderId="0"/>
    <xf numFmtId="0" fontId="41" fillId="0" borderId="0"/>
    <xf numFmtId="9" fontId="46" fillId="0" borderId="0" applyFont="0" applyFill="0" applyBorder="0" applyAlignment="0" applyProtection="0">
      <alignment vertical="center"/>
    </xf>
    <xf numFmtId="9" fontId="3" fillId="0" borderId="0" applyFont="0" applyFill="0" applyBorder="0" applyAlignment="0" applyProtection="0"/>
    <xf numFmtId="0" fontId="3" fillId="0" borderId="0"/>
    <xf numFmtId="0" fontId="3" fillId="0" borderId="0"/>
    <xf numFmtId="0" fontId="3" fillId="0" borderId="0"/>
    <xf numFmtId="0" fontId="2" fillId="0" borderId="0">
      <alignment vertical="center"/>
    </xf>
    <xf numFmtId="0" fontId="24" fillId="0" borderId="0"/>
    <xf numFmtId="0" fontId="24" fillId="0" borderId="0"/>
    <xf numFmtId="0" fontId="4" fillId="0" borderId="0" applyBorder="0"/>
    <xf numFmtId="0" fontId="23" fillId="0" borderId="0">
      <alignment vertical="top"/>
    </xf>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23" fillId="0" borderId="0">
      <alignment vertical="top"/>
    </xf>
    <xf numFmtId="0" fontId="4" fillId="0" borderId="0"/>
    <xf numFmtId="0" fontId="28" fillId="0" borderId="0"/>
    <xf numFmtId="0" fontId="4" fillId="0" borderId="0"/>
    <xf numFmtId="0" fontId="4" fillId="0" borderId="0"/>
    <xf numFmtId="0" fontId="4" fillId="0" borderId="0"/>
    <xf numFmtId="0" fontId="3" fillId="0" borderId="0"/>
    <xf numFmtId="0" fontId="3" fillId="0" borderId="0"/>
    <xf numFmtId="0" fontId="3" fillId="0" borderId="0"/>
    <xf numFmtId="0" fontId="4" fillId="0" borderId="0"/>
    <xf numFmtId="0" fontId="28" fillId="0" borderId="0"/>
    <xf numFmtId="0" fontId="4" fillId="0" borderId="0"/>
    <xf numFmtId="0" fontId="23" fillId="0" borderId="0">
      <alignment vertical="top"/>
    </xf>
    <xf numFmtId="0" fontId="4" fillId="0" borderId="0"/>
    <xf numFmtId="0" fontId="4" fillId="0" borderId="0"/>
    <xf numFmtId="0" fontId="4" fillId="0" borderId="0"/>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23" fillId="0" borderId="0">
      <alignment vertical="top"/>
    </xf>
    <xf numFmtId="0" fontId="4" fillId="0" borderId="0" applyBorder="0"/>
    <xf numFmtId="0" fontId="4" fillId="0" borderId="0"/>
    <xf numFmtId="0" fontId="4" fillId="0" borderId="0"/>
    <xf numFmtId="0" fontId="23" fillId="0" borderId="0">
      <alignment vertical="top"/>
    </xf>
    <xf numFmtId="0" fontId="23" fillId="0" borderId="0">
      <alignment vertical="top"/>
    </xf>
    <xf numFmtId="0" fontId="4" fillId="0" borderId="0"/>
    <xf numFmtId="0" fontId="23" fillId="0" borderId="0">
      <alignment vertical="top"/>
    </xf>
    <xf numFmtId="0" fontId="4" fillId="0" borderId="0"/>
    <xf numFmtId="0" fontId="23" fillId="0" borderId="0">
      <alignment vertical="top"/>
    </xf>
    <xf numFmtId="0" fontId="23" fillId="0" borderId="0">
      <alignment vertical="top"/>
    </xf>
    <xf numFmtId="0" fontId="23" fillId="0" borderId="0">
      <alignment vertical="top"/>
    </xf>
    <xf numFmtId="0" fontId="4" fillId="0" borderId="0"/>
    <xf numFmtId="0" fontId="23" fillId="0" borderId="0">
      <alignment vertical="top"/>
    </xf>
    <xf numFmtId="0" fontId="23" fillId="0" borderId="0">
      <alignment vertical="top"/>
    </xf>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4" fillId="0" borderId="0"/>
    <xf numFmtId="0" fontId="77" fillId="10" borderId="0" applyNumberFormat="0" applyBorder="0" applyAlignment="0" applyProtection="0"/>
    <xf numFmtId="0" fontId="77" fillId="11" borderId="0" applyNumberFormat="0" applyBorder="0" applyAlignment="0" applyProtection="0"/>
    <xf numFmtId="0" fontId="77" fillId="12" borderId="0" applyNumberFormat="0" applyBorder="0" applyAlignment="0" applyProtection="0"/>
    <xf numFmtId="0" fontId="77" fillId="10" borderId="0" applyNumberFormat="0" applyBorder="0" applyAlignment="0" applyProtection="0"/>
    <xf numFmtId="0" fontId="77" fillId="13" borderId="0" applyNumberFormat="0" applyBorder="0" applyAlignment="0" applyProtection="0"/>
    <xf numFmtId="0" fontId="77" fillId="11" borderId="0" applyNumberFormat="0" applyBorder="0" applyAlignment="0" applyProtection="0"/>
    <xf numFmtId="0" fontId="4" fillId="0" borderId="0" applyBorder="0"/>
    <xf numFmtId="0" fontId="77" fillId="14" borderId="0" applyNumberFormat="0" applyBorder="0" applyAlignment="0" applyProtection="0"/>
    <xf numFmtId="0" fontId="77" fillId="15" borderId="0" applyNumberFormat="0" applyBorder="0" applyAlignment="0" applyProtection="0"/>
    <xf numFmtId="0" fontId="77" fillId="16" borderId="0" applyNumberFormat="0" applyBorder="0" applyAlignment="0" applyProtection="0"/>
    <xf numFmtId="0" fontId="77" fillId="14" borderId="0" applyNumberFormat="0" applyBorder="0" applyAlignment="0" applyProtection="0"/>
    <xf numFmtId="0" fontId="77" fillId="17" borderId="0" applyNumberFormat="0" applyBorder="0" applyAlignment="0" applyProtection="0"/>
    <xf numFmtId="0" fontId="77" fillId="11" borderId="0" applyNumberFormat="0" applyBorder="0" applyAlignment="0" applyProtection="0"/>
    <xf numFmtId="0" fontId="78" fillId="18" borderId="0" applyNumberFormat="0" applyBorder="0" applyAlignment="0" applyProtection="0"/>
    <xf numFmtId="0" fontId="78" fillId="15" borderId="0" applyNumberFormat="0" applyBorder="0" applyAlignment="0" applyProtection="0"/>
    <xf numFmtId="0" fontId="78" fillId="16" borderId="0" applyNumberFormat="0" applyBorder="0" applyAlignment="0" applyProtection="0"/>
    <xf numFmtId="0" fontId="78" fillId="14" borderId="0" applyNumberFormat="0" applyBorder="0" applyAlignment="0" applyProtection="0"/>
    <xf numFmtId="0" fontId="78" fillId="18" borderId="0" applyNumberFormat="0" applyBorder="0" applyAlignment="0" applyProtection="0"/>
    <xf numFmtId="0" fontId="78" fillId="11" borderId="0" applyNumberFormat="0" applyBorder="0" applyAlignment="0" applyProtection="0"/>
    <xf numFmtId="0" fontId="78" fillId="18" borderId="0" applyNumberFormat="0" applyBorder="0" applyAlignment="0" applyProtection="0"/>
    <xf numFmtId="0" fontId="78" fillId="19" borderId="0" applyNumberFormat="0" applyBorder="0" applyAlignment="0" applyProtection="0"/>
    <xf numFmtId="0" fontId="78" fillId="19" borderId="0" applyNumberFormat="0" applyBorder="0" applyAlignment="0" applyProtection="0"/>
    <xf numFmtId="0" fontId="78" fillId="20" borderId="0" applyNumberFormat="0" applyBorder="0" applyAlignment="0" applyProtection="0"/>
    <xf numFmtId="0" fontId="78" fillId="18" borderId="0" applyNumberFormat="0" applyBorder="0" applyAlignment="0" applyProtection="0"/>
    <xf numFmtId="0" fontId="78" fillId="21" borderId="0" applyNumberFormat="0" applyBorder="0" applyAlignment="0" applyProtection="0"/>
    <xf numFmtId="0" fontId="79" fillId="22" borderId="0" applyNumberFormat="0" applyBorder="0" applyAlignment="0" applyProtection="0"/>
    <xf numFmtId="0" fontId="80" fillId="10" borderId="83" applyNumberFormat="0" applyAlignment="0" applyProtection="0"/>
    <xf numFmtId="0" fontId="81" fillId="23" borderId="84" applyNumberFormat="0" applyAlignment="0" applyProtection="0"/>
    <xf numFmtId="0" fontId="82" fillId="0" borderId="0" applyNumberFormat="0" applyFill="0" applyBorder="0" applyAlignment="0" applyProtection="0"/>
    <xf numFmtId="0" fontId="83" fillId="24" borderId="0" applyNumberFormat="0" applyBorder="0" applyAlignment="0" applyProtection="0"/>
    <xf numFmtId="0" fontId="84" fillId="0" borderId="85" applyNumberFormat="0" applyFill="0" applyAlignment="0" applyProtection="0"/>
    <xf numFmtId="0" fontId="85" fillId="0" borderId="86" applyNumberFormat="0" applyFill="0" applyAlignment="0" applyProtection="0"/>
    <xf numFmtId="0" fontId="86" fillId="0" borderId="87" applyNumberFormat="0" applyFill="0" applyAlignment="0" applyProtection="0"/>
    <xf numFmtId="0" fontId="86" fillId="0" borderId="0" applyNumberFormat="0" applyFill="0" applyBorder="0" applyAlignment="0" applyProtection="0"/>
    <xf numFmtId="0" fontId="87" fillId="0" borderId="0" applyNumberFormat="0" applyFill="0" applyBorder="0" applyAlignment="0" applyProtection="0">
      <alignment vertical="top"/>
      <protection locked="0"/>
    </xf>
    <xf numFmtId="0" fontId="88" fillId="0" borderId="0" applyNumberFormat="0" applyFill="0" applyBorder="0" applyAlignment="0" applyProtection="0">
      <alignment vertical="top"/>
      <protection locked="0"/>
    </xf>
    <xf numFmtId="0" fontId="89" fillId="11" borderId="83" applyNumberFormat="0" applyAlignment="0" applyProtection="0"/>
    <xf numFmtId="0" fontId="89" fillId="11" borderId="83" applyNumberFormat="0" applyAlignment="0" applyProtection="0"/>
    <xf numFmtId="0" fontId="90" fillId="0" borderId="88" applyNumberFormat="0" applyFill="0" applyAlignment="0" applyProtection="0"/>
    <xf numFmtId="0" fontId="91" fillId="16" borderId="0" applyNumberFormat="0" applyBorder="0" applyAlignment="0" applyProtection="0"/>
    <xf numFmtId="0" fontId="4" fillId="0" borderId="0"/>
    <xf numFmtId="0" fontId="3" fillId="0" borderId="0">
      <alignment vertical="top"/>
    </xf>
    <xf numFmtId="0" fontId="3" fillId="12" borderId="89" applyNumberFormat="0" applyFont="0" applyAlignment="0" applyProtection="0"/>
    <xf numFmtId="0" fontId="92" fillId="10" borderId="90" applyNumberFormat="0" applyAlignment="0" applyProtection="0"/>
    <xf numFmtId="0" fontId="4" fillId="0" borderId="0"/>
    <xf numFmtId="0" fontId="4" fillId="0" borderId="0"/>
    <xf numFmtId="0" fontId="93" fillId="0" borderId="0" applyNumberFormat="0" applyFill="0" applyBorder="0" applyAlignment="0" applyProtection="0"/>
    <xf numFmtId="0" fontId="94" fillId="0" borderId="91" applyNumberFormat="0" applyFill="0" applyAlignment="0" applyProtection="0"/>
    <xf numFmtId="0" fontId="95" fillId="0" borderId="0" applyNumberFormat="0" applyFill="0" applyBorder="0" applyAlignment="0" applyProtection="0"/>
    <xf numFmtId="0" fontId="96" fillId="0" borderId="0" applyNumberFormat="0" applyFill="0" applyBorder="0" applyAlignment="0" applyProtection="0">
      <alignment vertical="top"/>
      <protection locked="0"/>
    </xf>
    <xf numFmtId="0" fontId="97" fillId="0" borderId="0"/>
    <xf numFmtId="0" fontId="98" fillId="0" borderId="0" applyNumberFormat="0" applyFill="0" applyBorder="0" applyAlignment="0" applyProtection="0">
      <alignment vertical="top"/>
      <protection locked="0"/>
    </xf>
    <xf numFmtId="0" fontId="99" fillId="22" borderId="0" applyNumberFormat="0" applyBorder="0" applyAlignment="0" applyProtection="0">
      <alignment vertical="center"/>
    </xf>
    <xf numFmtId="0" fontId="100" fillId="22" borderId="0" applyNumberFormat="0" applyBorder="0" applyAlignment="0" applyProtection="0">
      <alignment vertical="center"/>
    </xf>
    <xf numFmtId="0" fontId="101" fillId="22" borderId="0" applyNumberFormat="0" applyBorder="0" applyAlignment="0" applyProtection="0"/>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1"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2" fillId="22" borderId="0" applyNumberFormat="0" applyBorder="0" applyAlignment="0" applyProtection="0"/>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99"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100" fillId="25" borderId="0" applyNumberFormat="0" applyBorder="0" applyAlignment="0" applyProtection="0">
      <alignment vertical="center"/>
    </xf>
    <xf numFmtId="0" fontId="99" fillId="22" borderId="0" applyNumberFormat="0" applyBorder="0" applyAlignment="0" applyProtection="0">
      <alignment vertical="center"/>
    </xf>
    <xf numFmtId="0" fontId="103" fillId="24" borderId="0" applyNumberFormat="0" applyBorder="0" applyAlignment="0" applyProtection="0"/>
    <xf numFmtId="0" fontId="103" fillId="24" borderId="0" applyNumberFormat="0" applyBorder="0" applyAlignment="0" applyProtection="0">
      <alignment vertical="center"/>
    </xf>
    <xf numFmtId="0" fontId="104" fillId="24" borderId="0" applyNumberFormat="0" applyBorder="0" applyAlignment="0" applyProtection="0"/>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0" fontId="105" fillId="3" borderId="0" applyNumberFormat="0" applyBorder="0" applyAlignment="0" applyProtection="0">
      <alignment vertical="center"/>
    </xf>
    <xf numFmtId="40" fontId="106" fillId="0" borderId="0" applyFont="0" applyFill="0" applyBorder="0" applyAlignment="0" applyProtection="0"/>
    <xf numFmtId="0" fontId="107" fillId="0" borderId="0"/>
    <xf numFmtId="0" fontId="42" fillId="0" borderId="0"/>
    <xf numFmtId="0" fontId="141" fillId="0" borderId="0" applyNumberFormat="0" applyFill="0" applyBorder="0" applyAlignment="0" applyProtection="0"/>
    <xf numFmtId="0" fontId="1" fillId="0" borderId="0">
      <alignment vertical="center"/>
    </xf>
    <xf numFmtId="9" fontId="1" fillId="0" borderId="0" applyFont="0" applyFill="0" applyBorder="0" applyAlignment="0" applyProtection="0">
      <alignment vertical="center"/>
    </xf>
    <xf numFmtId="9" fontId="3" fillId="0" borderId="0" applyFont="0" applyFill="0" applyBorder="0" applyAlignment="0" applyProtection="0"/>
    <xf numFmtId="217" fontId="3" fillId="0" borderId="0" applyFont="0" applyFill="0" applyBorder="0" applyAlignment="0" applyProtection="0"/>
    <xf numFmtId="0" fontId="3" fillId="0" borderId="0"/>
    <xf numFmtId="9" fontId="3" fillId="0" borderId="0" applyFont="0" applyFill="0" applyBorder="0" applyAlignment="0" applyProtection="0"/>
    <xf numFmtId="9" fontId="46" fillId="0" borderId="0" applyFont="0" applyFill="0" applyBorder="0" applyAlignment="0" applyProtection="0">
      <alignment vertical="center"/>
    </xf>
    <xf numFmtId="0" fontId="100" fillId="22" borderId="0" applyNumberFormat="0" applyBorder="0" applyAlignment="0" applyProtection="0">
      <alignment vertical="center"/>
    </xf>
    <xf numFmtId="0" fontId="100" fillId="22" borderId="0" applyNumberFormat="0" applyBorder="0" applyAlignment="0" applyProtection="0">
      <alignment vertical="center"/>
    </xf>
    <xf numFmtId="0" fontId="100" fillId="25" borderId="0" applyNumberFormat="0" applyBorder="0" applyAlignment="0" applyProtection="0">
      <alignment vertical="center"/>
    </xf>
    <xf numFmtId="0" fontId="100" fillId="22" borderId="0" applyNumberFormat="0" applyBorder="0" applyAlignment="0" applyProtection="0">
      <alignment vertical="center"/>
    </xf>
    <xf numFmtId="0" fontId="100" fillId="25" borderId="0" applyNumberFormat="0" applyBorder="0" applyAlignment="0" applyProtection="0">
      <alignment vertical="center"/>
    </xf>
    <xf numFmtId="217" fontId="149" fillId="0" borderId="0"/>
    <xf numFmtId="0" fontId="149" fillId="0" borderId="0">
      <alignment vertical="center"/>
    </xf>
    <xf numFmtId="0" fontId="149" fillId="0" borderId="0">
      <alignment vertical="center"/>
    </xf>
    <xf numFmtId="0" fontId="46" fillId="0" borderId="0"/>
    <xf numFmtId="0" fontId="4" fillId="0" borderId="0"/>
    <xf numFmtId="0" fontId="46" fillId="0" borderId="0"/>
    <xf numFmtId="0" fontId="39" fillId="0" borderId="0" applyNumberFormat="0" applyFill="0" applyBorder="0" applyAlignment="0" applyProtection="0">
      <alignment vertical="top"/>
      <protection locked="0"/>
    </xf>
    <xf numFmtId="0" fontId="39" fillId="0" borderId="0" applyNumberFormat="0" applyFill="0" applyBorder="0" applyAlignment="0" applyProtection="0"/>
    <xf numFmtId="0" fontId="105" fillId="24" borderId="0" applyNumberFormat="0" applyBorder="0" applyAlignment="0" applyProtection="0">
      <alignment vertical="center"/>
    </xf>
    <xf numFmtId="0" fontId="105" fillId="24" borderId="0" applyNumberFormat="0" applyBorder="0" applyAlignment="0" applyProtection="0">
      <alignment vertical="center"/>
    </xf>
    <xf numFmtId="0" fontId="105" fillId="3" borderId="0" applyNumberFormat="0" applyBorder="0" applyAlignment="0" applyProtection="0">
      <alignment vertical="center"/>
    </xf>
    <xf numFmtId="0" fontId="105" fillId="24" borderId="0" applyNumberFormat="0" applyBorder="0" applyAlignment="0" applyProtection="0">
      <alignment vertical="center"/>
    </xf>
    <xf numFmtId="0" fontId="105" fillId="3" borderId="0" applyNumberFormat="0" applyBorder="0" applyAlignment="0" applyProtection="0">
      <alignment vertical="center"/>
    </xf>
    <xf numFmtId="0" fontId="40" fillId="0" borderId="0" applyNumberFormat="0" applyFill="0" applyBorder="0" applyAlignment="0" applyProtection="0">
      <alignment vertical="top"/>
      <protection locked="0"/>
    </xf>
    <xf numFmtId="0" fontId="13" fillId="0" borderId="0">
      <alignment vertical="center"/>
    </xf>
    <xf numFmtId="0" fontId="3" fillId="0" borderId="0">
      <alignment vertical="center"/>
    </xf>
    <xf numFmtId="0" fontId="3" fillId="0" borderId="0"/>
    <xf numFmtId="0" fontId="4" fillId="0" borderId="0"/>
  </cellStyleXfs>
  <cellXfs count="1311">
    <xf numFmtId="0" fontId="0" fillId="0" borderId="0" xfId="0"/>
    <xf numFmtId="0" fontId="50" fillId="7" borderId="0" xfId="0" applyFont="1" applyFill="1"/>
    <xf numFmtId="0" fontId="50" fillId="7" borderId="1" xfId="0" applyFont="1" applyFill="1" applyBorder="1"/>
    <xf numFmtId="0" fontId="50" fillId="7" borderId="0" xfId="0" applyFont="1" applyFill="1" applyAlignment="1">
      <alignment horizontal="left"/>
    </xf>
    <xf numFmtId="0" fontId="56" fillId="7" borderId="0" xfId="0" applyFont="1" applyFill="1" applyAlignment="1">
      <alignment horizontal="left" vertical="center"/>
    </xf>
    <xf numFmtId="182" fontId="50" fillId="7" borderId="0" xfId="0" applyNumberFormat="1" applyFont="1" applyFill="1"/>
    <xf numFmtId="0" fontId="50" fillId="7" borderId="0" xfId="0" applyFont="1" applyFill="1" applyAlignment="1">
      <alignment horizontal="right"/>
    </xf>
    <xf numFmtId="2" fontId="50" fillId="7" borderId="0" xfId="0" applyNumberFormat="1" applyFont="1" applyFill="1" applyAlignment="1">
      <alignment horizontal="right"/>
    </xf>
    <xf numFmtId="0" fontId="57" fillId="7" borderId="0" xfId="0" applyFont="1" applyFill="1"/>
    <xf numFmtId="0" fontId="51" fillId="7" borderId="0" xfId="0" applyFont="1" applyFill="1"/>
    <xf numFmtId="0" fontId="50" fillId="7" borderId="0" xfId="0" applyFont="1" applyFill="1" applyAlignment="1">
      <alignment horizontal="center" vertical="center"/>
    </xf>
    <xf numFmtId="0" fontId="50" fillId="8" borderId="1" xfId="0" applyFont="1" applyFill="1" applyBorder="1" applyAlignment="1">
      <alignment horizontal="left" vertical="center"/>
    </xf>
    <xf numFmtId="0" fontId="66" fillId="7" borderId="0" xfId="0" applyFont="1" applyFill="1"/>
    <xf numFmtId="0" fontId="50" fillId="7" borderId="0" xfId="0" applyFont="1" applyFill="1" applyBorder="1"/>
    <xf numFmtId="0" fontId="48" fillId="0" borderId="0" xfId="236" applyFont="1" applyFill="1" applyAlignment="1" applyProtection="1">
      <alignment horizontal="center" vertical="center"/>
      <protection locked="0"/>
    </xf>
    <xf numFmtId="0" fontId="70" fillId="0" borderId="0" xfId="236" applyNumberFormat="1" applyFont="1" applyAlignment="1" applyProtection="1">
      <alignment horizontal="center"/>
      <protection locked="0"/>
    </xf>
    <xf numFmtId="0" fontId="48" fillId="0" borderId="0" xfId="236" applyNumberFormat="1" applyFont="1" applyBorder="1" applyAlignment="1" applyProtection="1">
      <alignment horizontal="left" vertical="top"/>
      <protection locked="0"/>
    </xf>
    <xf numFmtId="0" fontId="48" fillId="0" borderId="0" xfId="236" applyNumberFormat="1" applyFont="1" applyBorder="1" applyAlignment="1" applyProtection="1">
      <alignment horizontal="left" vertical="center"/>
      <protection locked="0"/>
    </xf>
    <xf numFmtId="179" fontId="58" fillId="0" borderId="0" xfId="236" applyNumberFormat="1" applyFont="1" applyAlignment="1" applyProtection="1">
      <alignment horizontal="center" vertical="center"/>
      <protection locked="0"/>
    </xf>
    <xf numFmtId="0" fontId="48" fillId="0" borderId="0" xfId="236" applyNumberFormat="1" applyFont="1" applyAlignment="1" applyProtection="1">
      <alignment horizontal="center" vertical="center"/>
      <protection locked="0"/>
    </xf>
    <xf numFmtId="0" fontId="70" fillId="0" borderId="50" xfId="236" applyNumberFormat="1" applyFont="1" applyFill="1" applyBorder="1" applyAlignment="1" applyProtection="1">
      <alignment horizontal="center" vertical="center"/>
      <protection locked="0"/>
    </xf>
    <xf numFmtId="0" fontId="48" fillId="0" borderId="0" xfId="236" applyNumberFormat="1" applyFont="1" applyProtection="1">
      <protection locked="0"/>
    </xf>
    <xf numFmtId="0" fontId="48" fillId="0" borderId="61" xfId="236" applyNumberFormat="1" applyFont="1" applyBorder="1" applyAlignment="1" applyProtection="1">
      <alignment horizontal="center" vertical="center"/>
      <protection locked="0"/>
    </xf>
    <xf numFmtId="0" fontId="48" fillId="0" borderId="66" xfId="236" applyNumberFormat="1" applyFont="1" applyBorder="1" applyAlignment="1" applyProtection="1">
      <alignment horizontal="center" vertical="center"/>
      <protection locked="0"/>
    </xf>
    <xf numFmtId="0" fontId="58" fillId="0" borderId="92" xfId="236" applyNumberFormat="1" applyFont="1" applyFill="1" applyBorder="1" applyAlignment="1" applyProtection="1">
      <alignment horizontal="center" vertical="center"/>
      <protection locked="0"/>
    </xf>
    <xf numFmtId="0" fontId="48" fillId="8" borderId="36" xfId="236" applyNumberFormat="1" applyFont="1" applyFill="1" applyBorder="1" applyAlignment="1" applyProtection="1">
      <alignment horizontal="center" vertical="center"/>
      <protection locked="0"/>
    </xf>
    <xf numFmtId="0" fontId="48" fillId="8" borderId="73" xfId="236" applyNumberFormat="1" applyFont="1" applyFill="1" applyBorder="1" applyAlignment="1" applyProtection="1">
      <alignment horizontal="center" vertical="center"/>
      <protection locked="0"/>
    </xf>
    <xf numFmtId="0" fontId="48" fillId="8" borderId="6" xfId="236" applyNumberFormat="1" applyFont="1" applyFill="1" applyBorder="1" applyAlignment="1" applyProtection="1">
      <alignment horizontal="center" vertical="center"/>
      <protection locked="0"/>
    </xf>
    <xf numFmtId="0" fontId="48" fillId="8" borderId="0" xfId="236" applyNumberFormat="1" applyFont="1" applyFill="1" applyBorder="1" applyAlignment="1" applyProtection="1">
      <alignment horizontal="center" vertical="center"/>
      <protection locked="0"/>
    </xf>
    <xf numFmtId="0" fontId="48" fillId="8" borderId="75" xfId="236" applyNumberFormat="1" applyFont="1" applyFill="1" applyBorder="1" applyAlignment="1" applyProtection="1">
      <alignment horizontal="center" vertical="center"/>
      <protection locked="0"/>
    </xf>
    <xf numFmtId="0" fontId="72" fillId="7" borderId="53" xfId="236" applyNumberFormat="1" applyFont="1" applyFill="1" applyBorder="1" applyAlignment="1" applyProtection="1">
      <alignment horizontal="center"/>
      <protection locked="0"/>
    </xf>
    <xf numFmtId="0" fontId="48" fillId="0" borderId="114" xfId="236" applyNumberFormat="1" applyFont="1" applyBorder="1" applyAlignment="1" applyProtection="1">
      <alignment horizontal="center" vertical="center"/>
      <protection locked="0"/>
    </xf>
    <xf numFmtId="179" fontId="48" fillId="9" borderId="1" xfId="236" applyNumberFormat="1" applyFont="1" applyFill="1" applyBorder="1" applyAlignment="1" applyProtection="1">
      <alignment horizontal="center" vertical="center"/>
      <protection locked="0"/>
    </xf>
    <xf numFmtId="0" fontId="48" fillId="8" borderId="35" xfId="236" applyNumberFormat="1" applyFont="1" applyFill="1" applyBorder="1" applyAlignment="1" applyProtection="1">
      <alignment horizontal="center" vertical="center"/>
      <protection locked="0"/>
    </xf>
    <xf numFmtId="0" fontId="48" fillId="8" borderId="40" xfId="236" applyNumberFormat="1" applyFont="1" applyFill="1" applyBorder="1" applyAlignment="1" applyProtection="1">
      <alignment horizontal="center" vertical="center"/>
      <protection locked="0"/>
    </xf>
    <xf numFmtId="0" fontId="48" fillId="8" borderId="95" xfId="236" applyNumberFormat="1" applyFont="1" applyFill="1" applyBorder="1" applyAlignment="1" applyProtection="1">
      <alignment horizontal="center" vertical="center"/>
      <protection locked="0"/>
    </xf>
    <xf numFmtId="179" fontId="48" fillId="9" borderId="4" xfId="236" applyNumberFormat="1" applyFont="1" applyFill="1" applyBorder="1" applyAlignment="1" applyProtection="1">
      <alignment horizontal="center" vertical="center"/>
      <protection locked="0"/>
    </xf>
    <xf numFmtId="0" fontId="13" fillId="0" borderId="0" xfId="236" applyNumberFormat="1" applyFont="1" applyBorder="1" applyAlignment="1" applyProtection="1">
      <alignment horizontal="left" vertical="top"/>
      <protection locked="0"/>
    </xf>
    <xf numFmtId="0" fontId="50" fillId="7" borderId="118" xfId="0" applyFont="1" applyFill="1" applyBorder="1"/>
    <xf numFmtId="0" fontId="126" fillId="7" borderId="118" xfId="0" applyFont="1" applyFill="1" applyBorder="1"/>
    <xf numFmtId="0" fontId="56" fillId="7" borderId="0" xfId="0" applyFont="1" applyFill="1" applyAlignment="1">
      <alignment horizontal="right" vertical="center"/>
    </xf>
    <xf numFmtId="0" fontId="50" fillId="7" borderId="1" xfId="0" applyFont="1" applyFill="1" applyBorder="1" applyAlignment="1">
      <alignment horizontal="left" wrapText="1"/>
    </xf>
    <xf numFmtId="0" fontId="50" fillId="7" borderId="1" xfId="0" applyFont="1" applyFill="1" applyBorder="1" applyAlignment="1">
      <alignment horizontal="center" vertical="center"/>
    </xf>
    <xf numFmtId="0" fontId="50" fillId="7" borderId="0" xfId="0" applyFont="1" applyFill="1" applyAlignment="1">
      <alignment horizontal="left" wrapText="1"/>
    </xf>
    <xf numFmtId="0" fontId="126" fillId="7" borderId="0" xfId="0" applyFont="1" applyFill="1" applyAlignment="1">
      <alignment horizontal="left" vertical="center"/>
    </xf>
    <xf numFmtId="0" fontId="119" fillId="7" borderId="0" xfId="0" applyFont="1" applyFill="1" applyAlignment="1">
      <alignment horizontal="left" vertical="center"/>
    </xf>
    <xf numFmtId="2" fontId="50" fillId="7" borderId="1" xfId="0" applyNumberFormat="1" applyFont="1" applyFill="1" applyBorder="1" applyAlignment="1">
      <alignment horizontal="center" vertical="center"/>
    </xf>
    <xf numFmtId="0" fontId="141" fillId="0" borderId="7" xfId="592" applyBorder="1" applyAlignment="1">
      <alignment horizontal="left" vertical="center" wrapText="1"/>
    </xf>
    <xf numFmtId="0" fontId="50" fillId="7" borderId="5" xfId="0" applyFont="1" applyFill="1" applyBorder="1" applyAlignment="1">
      <alignment horizontal="left" wrapText="1"/>
    </xf>
    <xf numFmtId="0" fontId="144" fillId="0" borderId="1" xfId="0" applyFont="1" applyBorder="1" applyAlignment="1">
      <alignment horizontal="left" vertical="center" wrapText="1"/>
    </xf>
    <xf numFmtId="0" fontId="13" fillId="7" borderId="0" xfId="6" applyFont="1" applyFill="1" applyAlignment="1" applyProtection="1">
      <alignment vertical="center"/>
      <protection hidden="1"/>
    </xf>
    <xf numFmtId="0" fontId="138" fillId="7" borderId="118" xfId="0" applyFont="1" applyFill="1" applyBorder="1" applyAlignment="1">
      <alignment vertical="top"/>
    </xf>
    <xf numFmtId="0" fontId="125" fillId="7" borderId="118" xfId="0" applyFont="1" applyFill="1" applyBorder="1" applyAlignment="1">
      <alignment horizontal="left" vertical="center"/>
    </xf>
    <xf numFmtId="0" fontId="125" fillId="7" borderId="0" xfId="0" applyFont="1" applyFill="1" applyBorder="1" applyAlignment="1">
      <alignment horizontal="left" vertical="center"/>
    </xf>
    <xf numFmtId="0" fontId="48" fillId="0" borderId="1" xfId="621" applyFont="1" applyFill="1" applyBorder="1" applyAlignment="1">
      <alignment horizontal="center" vertical="center" wrapText="1"/>
    </xf>
    <xf numFmtId="186" fontId="48" fillId="7" borderId="1" xfId="621" applyNumberFormat="1" applyFont="1" applyFill="1" applyBorder="1" applyAlignment="1">
      <alignment horizontal="center" vertical="center" wrapText="1"/>
    </xf>
    <xf numFmtId="0" fontId="48" fillId="7" borderId="1" xfId="619" applyFont="1" applyFill="1" applyBorder="1" applyAlignment="1">
      <alignment horizontal="center" vertical="center" wrapText="1"/>
    </xf>
    <xf numFmtId="58" fontId="48" fillId="7" borderId="1" xfId="619" applyNumberFormat="1" applyFont="1" applyFill="1" applyBorder="1" applyAlignment="1">
      <alignment horizontal="center" vertical="center" wrapText="1"/>
    </xf>
    <xf numFmtId="58" fontId="48" fillId="7" borderId="1" xfId="619" applyNumberFormat="1" applyFont="1" applyFill="1" applyBorder="1" applyAlignment="1">
      <alignment horizontal="left" vertical="center" wrapText="1"/>
    </xf>
    <xf numFmtId="58" fontId="48" fillId="7" borderId="1" xfId="619" applyNumberFormat="1" applyFont="1" applyFill="1" applyBorder="1" applyAlignment="1">
      <alignment horizontal="center" vertical="center"/>
    </xf>
    <xf numFmtId="0" fontId="138" fillId="7" borderId="1" xfId="0" applyFont="1" applyFill="1" applyBorder="1" applyAlignment="1">
      <alignment horizontal="center" vertical="center" wrapText="1"/>
    </xf>
    <xf numFmtId="0" fontId="48" fillId="0" borderId="1" xfId="619" applyFont="1" applyFill="1" applyBorder="1" applyAlignment="1">
      <alignment vertical="center" wrapText="1"/>
    </xf>
    <xf numFmtId="0" fontId="48" fillId="0" borderId="1" xfId="619" applyFont="1" applyFill="1" applyBorder="1" applyAlignment="1">
      <alignment horizontal="center" vertical="center"/>
    </xf>
    <xf numFmtId="0" fontId="48" fillId="0" borderId="0" xfId="619" applyFont="1" applyFill="1" applyBorder="1" applyAlignment="1">
      <alignment vertical="center" wrapText="1"/>
    </xf>
    <xf numFmtId="0" fontId="48" fillId="0" borderId="1" xfId="619" applyNumberFormat="1" applyFont="1" applyFill="1" applyBorder="1" applyAlignment="1">
      <alignment horizontal="center" vertical="center"/>
    </xf>
    <xf numFmtId="0" fontId="138" fillId="7" borderId="1" xfId="620" applyNumberFormat="1" applyFont="1" applyFill="1" applyBorder="1" applyAlignment="1">
      <alignment horizontal="center" vertical="center" wrapText="1"/>
    </xf>
    <xf numFmtId="186" fontId="48" fillId="7" borderId="1" xfId="621" applyNumberFormat="1" applyFont="1" applyFill="1" applyBorder="1" applyAlignment="1">
      <alignment horizontal="center" vertical="center"/>
    </xf>
    <xf numFmtId="0" fontId="48" fillId="7" borderId="1" xfId="0" applyFont="1" applyFill="1" applyBorder="1" applyAlignment="1">
      <alignment horizontal="left" vertical="center" wrapText="1"/>
    </xf>
    <xf numFmtId="0" fontId="48" fillId="8" borderId="7" xfId="619" applyFont="1" applyFill="1" applyBorder="1" applyAlignment="1">
      <alignment horizontal="center" vertical="center" wrapText="1"/>
    </xf>
    <xf numFmtId="0" fontId="144" fillId="0" borderId="1" xfId="0" applyFont="1" applyBorder="1" applyAlignment="1">
      <alignment horizontal="left" wrapText="1"/>
    </xf>
    <xf numFmtId="0" fontId="144" fillId="7" borderId="5" xfId="0" applyFont="1" applyFill="1" applyBorder="1" applyAlignment="1">
      <alignment horizontal="left" wrapText="1"/>
    </xf>
    <xf numFmtId="0" fontId="144" fillId="0" borderId="7" xfId="0" applyFont="1" applyBorder="1" applyAlignment="1">
      <alignment horizontal="left" wrapText="1"/>
    </xf>
    <xf numFmtId="0" fontId="150" fillId="7" borderId="0" xfId="0" applyFont="1" applyFill="1"/>
    <xf numFmtId="0" fontId="50" fillId="8" borderId="1" xfId="0" applyFont="1" applyFill="1" applyBorder="1" applyAlignment="1">
      <alignment horizontal="center" vertical="center"/>
    </xf>
    <xf numFmtId="0" fontId="50" fillId="0" borderId="1" xfId="0" applyFont="1" applyBorder="1" applyAlignment="1">
      <alignment horizontal="center" vertical="center"/>
    </xf>
    <xf numFmtId="14" fontId="50" fillId="0" borderId="1" xfId="0" applyNumberFormat="1" applyFont="1" applyBorder="1" applyAlignment="1">
      <alignment horizontal="left" vertical="center"/>
    </xf>
    <xf numFmtId="0" fontId="50" fillId="0" borderId="1" xfId="0" applyFont="1" applyBorder="1" applyAlignment="1">
      <alignment horizontal="left" vertical="center" wrapText="1"/>
    </xf>
    <xf numFmtId="0" fontId="50" fillId="0" borderId="1" xfId="0" applyFont="1" applyBorder="1" applyAlignment="1">
      <alignment vertical="center" wrapText="1"/>
    </xf>
    <xf numFmtId="0" fontId="48" fillId="8" borderId="11" xfId="236" applyNumberFormat="1" applyFont="1" applyFill="1" applyBorder="1" applyAlignment="1" applyProtection="1">
      <alignment horizontal="center" vertical="center"/>
      <protection locked="0"/>
    </xf>
    <xf numFmtId="0" fontId="48" fillId="0" borderId="0" xfId="6" applyFont="1" applyAlignment="1" applyProtection="1">
      <alignment vertical="center"/>
      <protection locked="0"/>
    </xf>
    <xf numFmtId="0" fontId="54" fillId="0" borderId="0" xfId="8" applyFont="1" applyAlignment="1" applyProtection="1">
      <alignment vertical="center"/>
      <protection locked="0"/>
    </xf>
    <xf numFmtId="0" fontId="48" fillId="2" borderId="0" xfId="8" applyFont="1" applyFill="1" applyProtection="1">
      <protection locked="0"/>
    </xf>
    <xf numFmtId="0" fontId="129" fillId="0" borderId="118" xfId="6" applyFont="1" applyBorder="1" applyAlignment="1" applyProtection="1">
      <alignment vertical="center"/>
      <protection locked="0"/>
    </xf>
    <xf numFmtId="0" fontId="48" fillId="0" borderId="118" xfId="6" applyFont="1" applyBorder="1" applyAlignment="1" applyProtection="1">
      <alignment vertical="center"/>
      <protection locked="0"/>
    </xf>
    <xf numFmtId="0" fontId="54" fillId="0" borderId="118" xfId="8" applyFont="1" applyBorder="1" applyAlignment="1" applyProtection="1">
      <alignment vertical="center"/>
      <protection locked="0"/>
    </xf>
    <xf numFmtId="0" fontId="48" fillId="2" borderId="118" xfId="8" applyFont="1" applyFill="1" applyBorder="1" applyProtection="1">
      <protection locked="0"/>
    </xf>
    <xf numFmtId="0" fontId="13" fillId="0" borderId="118" xfId="6" applyFont="1" applyBorder="1" applyAlignment="1" applyProtection="1">
      <alignment vertical="center"/>
      <protection locked="0"/>
    </xf>
    <xf numFmtId="0" fontId="57" fillId="0" borderId="118" xfId="9" applyFont="1" applyBorder="1" applyAlignment="1" applyProtection="1">
      <alignment vertical="center" wrapText="1"/>
      <protection locked="0"/>
    </xf>
    <xf numFmtId="0" fontId="57" fillId="0" borderId="0" xfId="9" applyFont="1" applyAlignment="1" applyProtection="1">
      <alignment horizontal="center" vertical="center" wrapText="1"/>
      <protection locked="0"/>
    </xf>
    <xf numFmtId="0" fontId="48" fillId="0" borderId="0" xfId="6" applyFont="1" applyBorder="1" applyAlignment="1" applyProtection="1">
      <alignment vertical="center"/>
      <protection locked="0"/>
    </xf>
    <xf numFmtId="180" fontId="48" fillId="0" borderId="0" xfId="6" applyNumberFormat="1" applyFont="1" applyAlignment="1" applyProtection="1">
      <alignment vertical="center"/>
      <protection locked="0"/>
    </xf>
    <xf numFmtId="0" fontId="47" fillId="7" borderId="0" xfId="6" applyFont="1" applyFill="1" applyBorder="1" applyAlignment="1" applyProtection="1">
      <alignment horizontal="center" vertical="center" wrapText="1"/>
      <protection locked="0"/>
    </xf>
    <xf numFmtId="178" fontId="47" fillId="7" borderId="0" xfId="230" applyNumberFormat="1" applyFont="1" applyFill="1" applyBorder="1" applyAlignment="1" applyProtection="1">
      <alignment horizontal="center" vertical="center"/>
      <protection locked="0"/>
    </xf>
    <xf numFmtId="182" fontId="47" fillId="7" borderId="0" xfId="6" applyNumberFormat="1" applyFont="1" applyFill="1" applyBorder="1" applyAlignment="1" applyProtection="1">
      <alignment horizontal="center" vertical="center"/>
      <protection locked="0"/>
    </xf>
    <xf numFmtId="0" fontId="122" fillId="0" borderId="0" xfId="6" applyFont="1" applyFill="1" applyAlignment="1" applyProtection="1">
      <alignment vertical="center"/>
      <protection locked="0"/>
    </xf>
    <xf numFmtId="0" fontId="47" fillId="0" borderId="0" xfId="6" applyFont="1" applyFill="1" applyBorder="1" applyAlignment="1" applyProtection="1">
      <alignment horizontal="center" vertical="center"/>
      <protection locked="0"/>
    </xf>
    <xf numFmtId="0" fontId="47" fillId="0" borderId="0" xfId="6" applyFont="1" applyFill="1" applyBorder="1" applyAlignment="1" applyProtection="1">
      <alignment horizontal="center" vertical="center" wrapText="1"/>
      <protection locked="0"/>
    </xf>
    <xf numFmtId="0" fontId="47" fillId="0" borderId="0" xfId="6" applyFont="1" applyAlignment="1" applyProtection="1">
      <alignment vertical="center"/>
      <protection locked="0"/>
    </xf>
    <xf numFmtId="0" fontId="57" fillId="0" borderId="0" xfId="9" applyFont="1" applyProtection="1">
      <alignment vertical="center"/>
      <protection locked="0"/>
    </xf>
    <xf numFmtId="0" fontId="47" fillId="8" borderId="1" xfId="6" applyFont="1" applyFill="1" applyBorder="1" applyAlignment="1" applyProtection="1">
      <alignment horizontal="center" vertical="center" wrapText="1"/>
      <protection locked="0"/>
    </xf>
    <xf numFmtId="49" fontId="47" fillId="0" borderId="0" xfId="6" applyNumberFormat="1" applyFont="1" applyFill="1" applyBorder="1" applyAlignment="1" applyProtection="1">
      <alignment horizontal="center" vertical="center"/>
      <protection locked="0"/>
    </xf>
    <xf numFmtId="0" fontId="47" fillId="8" borderId="1" xfId="6" applyFont="1" applyFill="1" applyBorder="1" applyAlignment="1" applyProtection="1">
      <alignment horizontal="center" vertical="center"/>
      <protection locked="0"/>
    </xf>
    <xf numFmtId="0" fontId="48" fillId="2" borderId="0" xfId="6" applyFont="1" applyFill="1" applyBorder="1" applyAlignment="1" applyProtection="1">
      <alignment vertical="center" wrapText="1"/>
      <protection locked="0"/>
    </xf>
    <xf numFmtId="49" fontId="47" fillId="8" borderId="1" xfId="6" applyNumberFormat="1" applyFont="1" applyFill="1" applyBorder="1" applyAlignment="1" applyProtection="1">
      <alignment horizontal="center" vertical="center" wrapText="1"/>
      <protection locked="0"/>
    </xf>
    <xf numFmtId="0" fontId="47" fillId="8" borderId="2" xfId="6" applyFont="1" applyFill="1" applyBorder="1" applyAlignment="1" applyProtection="1">
      <alignment horizontal="center" vertical="center" wrapText="1"/>
      <protection locked="0"/>
    </xf>
    <xf numFmtId="0" fontId="48" fillId="2" borderId="0" xfId="6" applyFont="1" applyFill="1" applyBorder="1" applyAlignment="1" applyProtection="1">
      <alignment vertical="center"/>
      <protection locked="0"/>
    </xf>
    <xf numFmtId="49" fontId="47" fillId="7" borderId="1" xfId="6" applyNumberFormat="1" applyFont="1" applyFill="1" applyBorder="1" applyAlignment="1" applyProtection="1">
      <alignment horizontal="center" vertical="center"/>
      <protection locked="0"/>
    </xf>
    <xf numFmtId="49" fontId="47" fillId="7" borderId="0" xfId="6" applyNumberFormat="1" applyFont="1" applyFill="1" applyBorder="1" applyAlignment="1" applyProtection="1">
      <alignment horizontal="center" vertical="center"/>
      <protection locked="0"/>
    </xf>
    <xf numFmtId="0" fontId="47" fillId="7" borderId="0" xfId="6" applyFont="1" applyFill="1" applyBorder="1" applyAlignment="1" applyProtection="1">
      <alignment horizontal="center" vertical="center"/>
      <protection locked="0"/>
    </xf>
    <xf numFmtId="0" fontId="63" fillId="7" borderId="0" xfId="6" applyFont="1" applyFill="1" applyBorder="1" applyAlignment="1" applyProtection="1">
      <alignment horizontal="center" vertical="center"/>
      <protection locked="0"/>
    </xf>
    <xf numFmtId="9" fontId="57" fillId="7" borderId="0" xfId="9" applyNumberFormat="1" applyFont="1" applyFill="1" applyBorder="1" applyProtection="1">
      <alignment vertical="center"/>
      <protection locked="0"/>
    </xf>
    <xf numFmtId="179" fontId="47" fillId="7" borderId="0" xfId="6" applyNumberFormat="1" applyFont="1" applyFill="1" applyBorder="1" applyAlignment="1" applyProtection="1">
      <alignment horizontal="center" vertical="center"/>
      <protection locked="0"/>
    </xf>
    <xf numFmtId="177" fontId="47" fillId="7" borderId="0" xfId="6" applyNumberFormat="1" applyFont="1" applyFill="1" applyBorder="1" applyAlignment="1" applyProtection="1">
      <alignment horizontal="center" vertical="center"/>
      <protection locked="0"/>
    </xf>
    <xf numFmtId="0" fontId="57" fillId="0" borderId="0" xfId="6" applyFont="1" applyAlignment="1" applyProtection="1">
      <alignment vertical="center"/>
      <protection locked="0"/>
    </xf>
    <xf numFmtId="0" fontId="63" fillId="8" borderId="1" xfId="9" applyFont="1" applyFill="1" applyBorder="1" applyAlignment="1" applyProtection="1">
      <alignment horizontal="center" vertical="center"/>
      <protection locked="0"/>
    </xf>
    <xf numFmtId="0" fontId="47" fillId="8" borderId="1" xfId="9" applyFont="1" applyFill="1" applyBorder="1" applyAlignment="1" applyProtection="1">
      <alignment horizontal="center" vertical="center"/>
      <protection locked="0"/>
    </xf>
    <xf numFmtId="0" fontId="17" fillId="8" borderId="1" xfId="6" applyFont="1" applyFill="1" applyBorder="1" applyAlignment="1" applyProtection="1">
      <alignment vertical="center" wrapText="1"/>
      <protection locked="0"/>
    </xf>
    <xf numFmtId="0" fontId="17" fillId="8" borderId="1" xfId="9" applyFont="1" applyFill="1" applyBorder="1" applyAlignment="1" applyProtection="1">
      <alignment vertical="center" wrapText="1"/>
      <protection locked="0"/>
    </xf>
    <xf numFmtId="0" fontId="47" fillId="0" borderId="1" xfId="6" applyFont="1" applyBorder="1" applyAlignment="1" applyProtection="1">
      <alignment horizontal="center" vertical="center"/>
      <protection locked="0"/>
    </xf>
    <xf numFmtId="0" fontId="47" fillId="7" borderId="1" xfId="9" applyFont="1" applyFill="1" applyBorder="1" applyAlignment="1" applyProtection="1">
      <alignment horizontal="center" vertical="center"/>
      <protection locked="0"/>
    </xf>
    <xf numFmtId="0" fontId="47" fillId="0" borderId="1" xfId="9" applyFont="1" applyBorder="1" applyAlignment="1" applyProtection="1">
      <alignment horizontal="center" vertical="center"/>
      <protection locked="0"/>
    </xf>
    <xf numFmtId="9" fontId="57" fillId="0" borderId="0" xfId="9" applyNumberFormat="1" applyFont="1" applyProtection="1">
      <alignment vertical="center"/>
      <protection locked="0"/>
    </xf>
    <xf numFmtId="0" fontId="48" fillId="2" borderId="0" xfId="6" applyFont="1" applyFill="1" applyBorder="1" applyAlignment="1" applyProtection="1">
      <alignment vertical="top"/>
      <protection locked="0"/>
    </xf>
    <xf numFmtId="0" fontId="17" fillId="0" borderId="0" xfId="6" applyFont="1" applyFill="1" applyAlignment="1" applyProtection="1">
      <alignment vertical="top"/>
      <protection locked="0"/>
    </xf>
    <xf numFmtId="0" fontId="63" fillId="0" borderId="0" xfId="6" applyFont="1" applyFill="1" applyAlignment="1" applyProtection="1">
      <alignment vertical="top"/>
      <protection locked="0"/>
    </xf>
    <xf numFmtId="0" fontId="47" fillId="0" borderId="0" xfId="6" applyFont="1" applyAlignment="1" applyProtection="1">
      <alignment vertical="top"/>
      <protection locked="0"/>
    </xf>
    <xf numFmtId="0" fontId="48" fillId="0" borderId="0" xfId="6" applyFont="1" applyAlignment="1" applyProtection="1">
      <alignment vertical="top"/>
      <protection locked="0"/>
    </xf>
    <xf numFmtId="0" fontId="57" fillId="0" borderId="0" xfId="9" applyFont="1" applyAlignment="1" applyProtection="1">
      <alignment vertical="top"/>
      <protection locked="0"/>
    </xf>
    <xf numFmtId="9" fontId="57" fillId="0" borderId="0" xfId="9" applyNumberFormat="1" applyFont="1" applyAlignment="1" applyProtection="1">
      <alignment vertical="top"/>
      <protection locked="0"/>
    </xf>
    <xf numFmtId="0" fontId="54" fillId="0" borderId="0" xfId="8" applyFont="1" applyAlignment="1" applyProtection="1">
      <alignment vertical="top"/>
      <protection locked="0"/>
    </xf>
    <xf numFmtId="0" fontId="17" fillId="8" borderId="1" xfId="6" applyFont="1" applyFill="1" applyBorder="1" applyAlignment="1" applyProtection="1">
      <alignment horizontal="center" vertical="center"/>
      <protection locked="0"/>
    </xf>
    <xf numFmtId="0" fontId="17" fillId="8" borderId="1" xfId="9" applyFont="1" applyFill="1" applyBorder="1" applyAlignment="1" applyProtection="1">
      <alignment horizontal="center" vertical="center"/>
      <protection locked="0"/>
    </xf>
    <xf numFmtId="0" fontId="63" fillId="0" borderId="0" xfId="6" applyFont="1" applyFill="1" applyAlignment="1" applyProtection="1">
      <alignment vertical="center"/>
      <protection locked="0"/>
    </xf>
    <xf numFmtId="0" fontId="54" fillId="0" borderId="0" xfId="6" applyFont="1" applyProtection="1">
      <protection locked="0"/>
    </xf>
    <xf numFmtId="0" fontId="54" fillId="0" borderId="121" xfId="6" applyFont="1" applyBorder="1" applyProtection="1">
      <protection locked="0"/>
    </xf>
    <xf numFmtId="0" fontId="54" fillId="0" borderId="0" xfId="6" applyFont="1" applyBorder="1" applyProtection="1">
      <protection locked="0"/>
    </xf>
    <xf numFmtId="0" fontId="47" fillId="7" borderId="2" xfId="6" applyFont="1" applyFill="1" applyBorder="1" applyAlignment="1" applyProtection="1">
      <alignment horizontal="left" vertical="center"/>
      <protection locked="0"/>
    </xf>
    <xf numFmtId="0" fontId="47" fillId="7" borderId="4" xfId="6" applyFont="1" applyFill="1" applyBorder="1" applyAlignment="1" applyProtection="1">
      <alignment horizontal="left" vertical="center"/>
      <protection locked="0"/>
    </xf>
    <xf numFmtId="0" fontId="54" fillId="0" borderId="126" xfId="6" applyFont="1" applyBorder="1" applyProtection="1">
      <protection locked="0"/>
    </xf>
    <xf numFmtId="0" fontId="48" fillId="0" borderId="1" xfId="6" applyFont="1" applyBorder="1" applyAlignment="1" applyProtection="1">
      <alignment vertical="center"/>
      <protection locked="0"/>
    </xf>
    <xf numFmtId="0" fontId="48" fillId="0" borderId="1" xfId="6" applyFont="1" applyFill="1" applyBorder="1" applyAlignment="1" applyProtection="1">
      <alignment vertical="center"/>
      <protection locked="0"/>
    </xf>
    <xf numFmtId="0" fontId="48" fillId="7" borderId="0" xfId="6" applyFont="1" applyFill="1" applyAlignment="1" applyProtection="1">
      <alignment vertical="center"/>
      <protection locked="0"/>
    </xf>
    <xf numFmtId="180" fontId="48" fillId="7" borderId="0" xfId="6" applyNumberFormat="1" applyFont="1" applyFill="1" applyAlignment="1" applyProtection="1">
      <alignment vertical="center"/>
      <protection locked="0"/>
    </xf>
    <xf numFmtId="0" fontId="54" fillId="7" borderId="0" xfId="8" applyFont="1" applyFill="1" applyAlignment="1" applyProtection="1">
      <alignment vertical="center"/>
      <protection locked="0"/>
    </xf>
    <xf numFmtId="0" fontId="48" fillId="7" borderId="1" xfId="6" applyFont="1" applyFill="1" applyBorder="1" applyAlignment="1" applyProtection="1">
      <alignment vertical="center"/>
      <protection locked="0"/>
    </xf>
    <xf numFmtId="226" fontId="48" fillId="7" borderId="0" xfId="4" applyNumberFormat="1" applyFont="1" applyFill="1" applyBorder="1" applyAlignment="1" applyProtection="1">
      <alignment horizontal="right"/>
      <protection locked="0"/>
    </xf>
    <xf numFmtId="0" fontId="54" fillId="0" borderId="0" xfId="1" applyFont="1" applyBorder="1" applyAlignment="1" applyProtection="1">
      <alignment vertical="center"/>
      <protection locked="0"/>
    </xf>
    <xf numFmtId="187" fontId="48" fillId="0" borderId="0" xfId="6" applyNumberFormat="1" applyFont="1" applyAlignment="1" applyProtection="1">
      <alignment vertical="center"/>
      <protection locked="0"/>
    </xf>
    <xf numFmtId="0" fontId="47" fillId="0" borderId="1" xfId="6" applyFont="1" applyFill="1" applyBorder="1" applyAlignment="1" applyProtection="1">
      <alignment horizontal="center" vertical="center" wrapText="1"/>
    </xf>
    <xf numFmtId="180" fontId="48" fillId="0" borderId="1" xfId="6" applyNumberFormat="1" applyFont="1" applyBorder="1" applyAlignment="1" applyProtection="1">
      <alignment vertical="center"/>
    </xf>
    <xf numFmtId="180" fontId="48" fillId="7" borderId="1" xfId="6" applyNumberFormat="1" applyFont="1" applyFill="1" applyBorder="1" applyAlignment="1" applyProtection="1">
      <alignment vertical="center"/>
    </xf>
    <xf numFmtId="180" fontId="48" fillId="0" borderId="1" xfId="6" applyNumberFormat="1" applyFont="1" applyBorder="1" applyAlignment="1" applyProtection="1">
      <alignment horizontal="center" vertical="center"/>
    </xf>
    <xf numFmtId="180" fontId="48" fillId="7" borderId="1" xfId="6" applyNumberFormat="1" applyFont="1" applyFill="1" applyBorder="1" applyAlignment="1" applyProtection="1">
      <alignment horizontal="center" vertical="center"/>
    </xf>
    <xf numFmtId="180" fontId="48" fillId="0" borderId="1" xfId="6" applyNumberFormat="1" applyFont="1" applyFill="1" applyBorder="1" applyAlignment="1" applyProtection="1">
      <alignment vertical="center"/>
    </xf>
    <xf numFmtId="0" fontId="54" fillId="0" borderId="0" xfId="2" applyFont="1" applyProtection="1">
      <alignment vertical="center"/>
      <protection locked="0"/>
    </xf>
    <xf numFmtId="0" fontId="129" fillId="0" borderId="118" xfId="3" applyFont="1" applyBorder="1" applyProtection="1">
      <protection locked="0"/>
    </xf>
    <xf numFmtId="0" fontId="54" fillId="0" borderId="118" xfId="2" applyFont="1" applyBorder="1" applyProtection="1">
      <alignment vertical="center"/>
      <protection locked="0"/>
    </xf>
    <xf numFmtId="2" fontId="60" fillId="0" borderId="118" xfId="3" applyNumberFormat="1" applyFont="1" applyBorder="1" applyProtection="1">
      <protection locked="0"/>
    </xf>
    <xf numFmtId="0" fontId="54" fillId="0" borderId="118" xfId="3" applyFont="1" applyBorder="1" applyProtection="1">
      <protection locked="0"/>
    </xf>
    <xf numFmtId="0" fontId="54" fillId="0" borderId="0" xfId="3" applyFont="1" applyAlignment="1" applyProtection="1">
      <alignment horizontal="left"/>
      <protection locked="0"/>
    </xf>
    <xf numFmtId="0" fontId="54" fillId="0" borderId="0" xfId="3" applyFont="1" applyProtection="1">
      <protection locked="0"/>
    </xf>
    <xf numFmtId="0" fontId="3" fillId="0" borderId="0" xfId="3" applyFont="1" applyProtection="1">
      <protection locked="0"/>
    </xf>
    <xf numFmtId="0" fontId="48" fillId="0" borderId="0" xfId="3" applyFont="1" applyProtection="1">
      <protection locked="0"/>
    </xf>
    <xf numFmtId="0" fontId="55" fillId="0" borderId="0" xfId="3" applyFont="1" applyAlignment="1" applyProtection="1">
      <alignment horizontal="left"/>
      <protection locked="0"/>
    </xf>
    <xf numFmtId="177" fontId="55" fillId="2" borderId="0" xfId="3" applyNumberFormat="1" applyFont="1" applyFill="1" applyAlignment="1" applyProtection="1">
      <alignment horizontal="right"/>
      <protection locked="0"/>
    </xf>
    <xf numFmtId="0" fontId="122" fillId="0" borderId="0" xfId="6" applyFont="1" applyAlignment="1" applyProtection="1">
      <alignment vertical="center"/>
      <protection locked="0"/>
    </xf>
    <xf numFmtId="0" fontId="54" fillId="0" borderId="0" xfId="6" applyFont="1" applyAlignment="1" applyProtection="1">
      <alignment vertical="center"/>
      <protection locked="0"/>
    </xf>
    <xf numFmtId="180" fontId="54" fillId="0" borderId="0" xfId="6" applyNumberFormat="1" applyFont="1" applyAlignment="1" applyProtection="1">
      <alignment vertical="center"/>
      <protection locked="0"/>
    </xf>
    <xf numFmtId="0" fontId="59" fillId="0" borderId="0" xfId="6" applyFont="1" applyAlignment="1" applyProtection="1">
      <alignment vertical="center"/>
      <protection locked="0"/>
    </xf>
    <xf numFmtId="0" fontId="136" fillId="0" borderId="0" xfId="0" applyFont="1" applyProtection="1">
      <protection locked="0"/>
    </xf>
    <xf numFmtId="0" fontId="111" fillId="0" borderId="118" xfId="0" applyFont="1" applyBorder="1" applyProtection="1">
      <protection locked="0"/>
    </xf>
    <xf numFmtId="0" fontId="136" fillId="0" borderId="118" xfId="0" applyFont="1" applyBorder="1" applyProtection="1">
      <protection locked="0"/>
    </xf>
    <xf numFmtId="0" fontId="138" fillId="0" borderId="118" xfId="0" applyFont="1" applyBorder="1" applyAlignment="1" applyProtection="1">
      <alignment vertical="top"/>
      <protection locked="0"/>
    </xf>
    <xf numFmtId="0" fontId="147" fillId="0" borderId="0" xfId="0" applyFont="1" applyProtection="1">
      <protection locked="0"/>
    </xf>
    <xf numFmtId="0" fontId="48" fillId="0" borderId="1" xfId="0" applyFont="1" applyBorder="1" applyAlignment="1" applyProtection="1">
      <alignment horizontal="center"/>
      <protection locked="0"/>
    </xf>
    <xf numFmtId="2" fontId="48" fillId="0" borderId="1" xfId="0" applyNumberFormat="1" applyFont="1" applyBorder="1" applyAlignment="1" applyProtection="1">
      <alignment horizontal="center"/>
      <protection locked="0"/>
    </xf>
    <xf numFmtId="0" fontId="136" fillId="0" borderId="1" xfId="0" applyFont="1" applyBorder="1" applyProtection="1">
      <protection locked="0"/>
    </xf>
    <xf numFmtId="0" fontId="48" fillId="0" borderId="1" xfId="0" applyFont="1" applyBorder="1" applyAlignment="1" applyProtection="1">
      <alignment horizontal="left"/>
      <protection locked="0"/>
    </xf>
    <xf numFmtId="0" fontId="136" fillId="0" borderId="0" xfId="0" applyFont="1" applyAlignment="1" applyProtection="1">
      <alignment horizontal="left"/>
      <protection locked="0"/>
    </xf>
    <xf numFmtId="0" fontId="110" fillId="0" borderId="0" xfId="0" applyFont="1" applyProtection="1">
      <protection locked="0"/>
    </xf>
    <xf numFmtId="0" fontId="138" fillId="0" borderId="0" xfId="0" applyFont="1" applyProtection="1">
      <protection locked="0"/>
    </xf>
    <xf numFmtId="0" fontId="55" fillId="0" borderId="0" xfId="0" applyFont="1" applyProtection="1">
      <protection locked="0"/>
    </xf>
    <xf numFmtId="0" fontId="138" fillId="0" borderId="0" xfId="0" applyFont="1" applyAlignment="1" applyProtection="1">
      <alignment horizontal="left"/>
      <protection locked="0"/>
    </xf>
    <xf numFmtId="1" fontId="137" fillId="27" borderId="105" xfId="0" applyNumberFormat="1" applyFont="1" applyFill="1" applyBorder="1" applyAlignment="1" applyProtection="1">
      <alignment horizontal="center" vertical="center" wrapText="1" readingOrder="1"/>
      <protection locked="0"/>
    </xf>
    <xf numFmtId="1" fontId="138" fillId="0" borderId="0" xfId="0" applyNumberFormat="1" applyFont="1" applyAlignment="1" applyProtection="1">
      <alignment horizontal="left"/>
      <protection locked="0"/>
    </xf>
    <xf numFmtId="1" fontId="136" fillId="0" borderId="0" xfId="0" applyNumberFormat="1" applyFont="1" applyProtection="1">
      <protection locked="0"/>
    </xf>
    <xf numFmtId="9" fontId="138" fillId="0" borderId="0" xfId="230" applyFont="1" applyAlignment="1" applyProtection="1">
      <alignment horizontal="left"/>
      <protection locked="0"/>
    </xf>
    <xf numFmtId="9" fontId="136" fillId="0" borderId="0" xfId="230" applyFont="1" applyAlignment="1" applyProtection="1">
      <protection locked="0"/>
    </xf>
    <xf numFmtId="0" fontId="53" fillId="27" borderId="109" xfId="0" applyFont="1" applyFill="1" applyBorder="1" applyAlignment="1" applyProtection="1">
      <alignment horizontal="left" vertical="center" wrapText="1" readingOrder="1"/>
      <protection locked="0"/>
    </xf>
    <xf numFmtId="0" fontId="53" fillId="28" borderId="109" xfId="0" applyFont="1" applyFill="1" applyBorder="1" applyAlignment="1" applyProtection="1">
      <alignment horizontal="left" vertical="center" wrapText="1" readingOrder="1"/>
      <protection locked="0"/>
    </xf>
    <xf numFmtId="0" fontId="140" fillId="8" borderId="1" xfId="0" applyFont="1" applyFill="1" applyBorder="1" applyAlignment="1" applyProtection="1">
      <alignment horizontal="center" vertical="center"/>
      <protection locked="0"/>
    </xf>
    <xf numFmtId="0" fontId="140" fillId="8" borderId="2" xfId="0" applyFont="1" applyFill="1" applyBorder="1" applyAlignment="1" applyProtection="1">
      <alignment horizontal="center" vertical="center"/>
      <protection locked="0"/>
    </xf>
    <xf numFmtId="0" fontId="140" fillId="8" borderId="3" xfId="0" applyFont="1" applyFill="1" applyBorder="1" applyAlignment="1" applyProtection="1">
      <alignment horizontal="center" vertical="center"/>
      <protection locked="0"/>
    </xf>
    <xf numFmtId="0" fontId="140" fillId="8" borderId="4" xfId="0" applyFont="1" applyFill="1" applyBorder="1" applyAlignment="1" applyProtection="1">
      <alignment horizontal="center" vertical="center"/>
      <protection locked="0"/>
    </xf>
    <xf numFmtId="0" fontId="140" fillId="7" borderId="1" xfId="0" applyFont="1" applyFill="1" applyBorder="1" applyAlignment="1" applyProtection="1">
      <alignment horizontal="center" vertical="center" wrapText="1"/>
      <protection locked="0"/>
    </xf>
    <xf numFmtId="0" fontId="140" fillId="7" borderId="1" xfId="0" applyFont="1" applyFill="1" applyBorder="1" applyAlignment="1" applyProtection="1">
      <alignment horizontal="center" vertical="center"/>
      <protection locked="0"/>
    </xf>
    <xf numFmtId="2" fontId="53" fillId="27" borderId="106" xfId="0" applyNumberFormat="1" applyFont="1" applyFill="1" applyBorder="1" applyAlignment="1" applyProtection="1">
      <alignment horizontal="center" vertical="center" wrapText="1" readingOrder="1"/>
    </xf>
    <xf numFmtId="182" fontId="53" fillId="27" borderId="109" xfId="0" applyNumberFormat="1" applyFont="1" applyFill="1" applyBorder="1" applyAlignment="1" applyProtection="1">
      <alignment horizontal="center" vertical="center" wrapText="1" readingOrder="1"/>
    </xf>
    <xf numFmtId="182" fontId="138" fillId="27" borderId="109" xfId="0" applyNumberFormat="1" applyFont="1" applyFill="1" applyBorder="1" applyAlignment="1" applyProtection="1">
      <alignment horizontal="center" vertical="center" wrapText="1" readingOrder="1"/>
    </xf>
    <xf numFmtId="182" fontId="48" fillId="27" borderId="109" xfId="0" applyNumberFormat="1" applyFont="1" applyFill="1" applyBorder="1" applyAlignment="1" applyProtection="1">
      <alignment horizontal="center" vertical="center" wrapText="1" readingOrder="1"/>
    </xf>
    <xf numFmtId="2" fontId="53" fillId="28" borderId="109" xfId="0" applyNumberFormat="1" applyFont="1" applyFill="1" applyBorder="1" applyAlignment="1" applyProtection="1">
      <alignment horizontal="center" vertical="center" wrapText="1" readingOrder="1"/>
    </xf>
    <xf numFmtId="0" fontId="139" fillId="27" borderId="109" xfId="0" applyFont="1" applyFill="1" applyBorder="1" applyAlignment="1" applyProtection="1">
      <alignment horizontal="center" vertical="center" wrapText="1" readingOrder="1"/>
    </xf>
    <xf numFmtId="1" fontId="139" fillId="27" borderId="109" xfId="0" applyNumberFormat="1" applyFont="1" applyFill="1" applyBorder="1" applyAlignment="1" applyProtection="1">
      <alignment horizontal="center" vertical="center" wrapText="1" readingOrder="1"/>
    </xf>
    <xf numFmtId="178" fontId="53" fillId="28" borderId="109" xfId="0" applyNumberFormat="1" applyFont="1" applyFill="1" applyBorder="1" applyAlignment="1" applyProtection="1">
      <alignment horizontal="center" vertical="center" wrapText="1" readingOrder="1"/>
    </xf>
    <xf numFmtId="178" fontId="53" fillId="27" borderId="109" xfId="0" applyNumberFormat="1" applyFont="1" applyFill="1" applyBorder="1" applyAlignment="1" applyProtection="1">
      <alignment horizontal="center" vertical="center" wrapText="1" readingOrder="1"/>
    </xf>
    <xf numFmtId="0" fontId="128" fillId="28" borderId="109" xfId="0" applyFont="1" applyFill="1" applyBorder="1" applyAlignment="1" applyProtection="1">
      <alignment horizontal="center" vertical="center" wrapText="1" readingOrder="1"/>
    </xf>
    <xf numFmtId="2" fontId="53" fillId="27" borderId="109" xfId="0" applyNumberFormat="1" applyFont="1" applyFill="1" applyBorder="1" applyAlignment="1" applyProtection="1">
      <alignment horizontal="center" vertical="center" wrapText="1" readingOrder="1"/>
    </xf>
    <xf numFmtId="0" fontId="53" fillId="28" borderId="109" xfId="0" applyFont="1" applyFill="1" applyBorder="1" applyAlignment="1" applyProtection="1">
      <alignment horizontal="center" vertical="center" wrapText="1" readingOrder="1"/>
    </xf>
    <xf numFmtId="179" fontId="138" fillId="27" borderId="109" xfId="0" applyNumberFormat="1" applyFont="1" applyFill="1" applyBorder="1" applyAlignment="1" applyProtection="1">
      <alignment horizontal="center" vertical="center" wrapText="1" readingOrder="1"/>
    </xf>
    <xf numFmtId="1" fontId="128" fillId="28" borderId="109" xfId="0" applyNumberFormat="1" applyFont="1" applyFill="1" applyBorder="1" applyAlignment="1" applyProtection="1">
      <alignment horizontal="center" vertical="center" wrapText="1" readingOrder="1"/>
    </xf>
    <xf numFmtId="0" fontId="53" fillId="27" borderId="109" xfId="0" applyFont="1" applyFill="1" applyBorder="1" applyAlignment="1" applyProtection="1">
      <alignment horizontal="center" vertical="center" wrapText="1" readingOrder="1"/>
    </xf>
    <xf numFmtId="1" fontId="138" fillId="28" borderId="109" xfId="0" applyNumberFormat="1" applyFont="1" applyFill="1" applyBorder="1" applyAlignment="1" applyProtection="1">
      <alignment horizontal="center" vertical="center" wrapText="1" readingOrder="1"/>
    </xf>
    <xf numFmtId="1" fontId="53" fillId="28" borderId="109" xfId="0" applyNumberFormat="1" applyFont="1" applyFill="1" applyBorder="1" applyAlignment="1" applyProtection="1">
      <alignment horizontal="center" vertical="center" wrapText="1" readingOrder="1"/>
    </xf>
    <xf numFmtId="1" fontId="53" fillId="27" borderId="109" xfId="0" applyNumberFormat="1" applyFont="1" applyFill="1" applyBorder="1" applyAlignment="1" applyProtection="1">
      <alignment horizontal="center" vertical="center" wrapText="1" readingOrder="1"/>
    </xf>
    <xf numFmtId="182" fontId="53" fillId="28" borderId="109" xfId="0" applyNumberFormat="1" applyFont="1" applyFill="1" applyBorder="1" applyAlignment="1" applyProtection="1">
      <alignment horizontal="center" vertical="center" wrapText="1" readingOrder="1"/>
    </xf>
    <xf numFmtId="0" fontId="140" fillId="8" borderId="3" xfId="0" applyFont="1" applyFill="1" applyBorder="1" applyAlignment="1" applyProtection="1">
      <alignment horizontal="center" vertical="center"/>
    </xf>
    <xf numFmtId="0" fontId="50" fillId="7" borderId="0" xfId="0" applyFont="1" applyFill="1" applyProtection="1">
      <protection locked="0"/>
    </xf>
    <xf numFmtId="0" fontId="50" fillId="7" borderId="0" xfId="0" applyFont="1" applyFill="1" applyAlignment="1" applyProtection="1">
      <alignment horizontal="center" vertical="center"/>
      <protection locked="0"/>
    </xf>
    <xf numFmtId="0" fontId="50" fillId="7" borderId="118" xfId="0" applyFont="1" applyFill="1" applyBorder="1" applyProtection="1">
      <protection locked="0"/>
    </xf>
    <xf numFmtId="0" fontId="50" fillId="7" borderId="118" xfId="0" applyFont="1" applyFill="1" applyBorder="1" applyAlignment="1" applyProtection="1">
      <alignment horizontal="center" vertical="center"/>
      <protection locked="0"/>
    </xf>
    <xf numFmtId="0" fontId="66" fillId="7" borderId="0" xfId="0" applyFont="1" applyFill="1" applyAlignment="1" applyProtection="1">
      <alignment horizontal="right"/>
      <protection locked="0"/>
    </xf>
    <xf numFmtId="0" fontId="66" fillId="7" borderId="0" xfId="0" applyFont="1" applyFill="1" applyProtection="1">
      <protection locked="0"/>
    </xf>
    <xf numFmtId="0" fontId="13" fillId="7" borderId="118" xfId="6" applyFont="1" applyFill="1" applyBorder="1" applyAlignment="1" applyProtection="1">
      <alignment vertical="center"/>
      <protection locked="0"/>
    </xf>
    <xf numFmtId="0" fontId="57" fillId="0" borderId="0" xfId="1" applyFont="1" applyAlignment="1" applyProtection="1">
      <alignment vertical="center"/>
      <protection locked="0"/>
    </xf>
    <xf numFmtId="0" fontId="51" fillId="7" borderId="15" xfId="0" applyFont="1" applyFill="1" applyBorder="1" applyAlignment="1" applyProtection="1">
      <protection locked="0"/>
    </xf>
    <xf numFmtId="0" fontId="49" fillId="7" borderId="0" xfId="0" applyFont="1" applyFill="1" applyBorder="1" applyAlignment="1" applyProtection="1">
      <protection locked="0"/>
    </xf>
    <xf numFmtId="0" fontId="51" fillId="7" borderId="0" xfId="0" applyFont="1" applyFill="1" applyBorder="1" applyAlignment="1" applyProtection="1">
      <protection locked="0"/>
    </xf>
    <xf numFmtId="0" fontId="50" fillId="7" borderId="0" xfId="0" applyFont="1" applyFill="1" applyBorder="1" applyAlignment="1" applyProtection="1">
      <protection locked="0"/>
    </xf>
    <xf numFmtId="0" fontId="66" fillId="7" borderId="0" xfId="0" applyFont="1" applyFill="1" applyBorder="1" applyAlignment="1" applyProtection="1">
      <protection locked="0"/>
    </xf>
    <xf numFmtId="0" fontId="50" fillId="7" borderId="0" xfId="0" applyFont="1" applyFill="1" applyAlignment="1" applyProtection="1">
      <alignment horizontal="center"/>
      <protection locked="0"/>
    </xf>
    <xf numFmtId="0" fontId="126" fillId="7" borderId="0" xfId="0" applyFont="1" applyFill="1" applyBorder="1" applyAlignment="1" applyProtection="1">
      <protection locked="0"/>
    </xf>
    <xf numFmtId="0" fontId="50" fillId="7" borderId="0" xfId="0" applyFont="1" applyFill="1" applyBorder="1" applyAlignment="1" applyProtection="1">
      <alignment horizontal="left"/>
      <protection locked="0"/>
    </xf>
    <xf numFmtId="0" fontId="50" fillId="7" borderId="0" xfId="0" applyFont="1" applyFill="1" applyBorder="1" applyAlignment="1" applyProtection="1">
      <alignment vertical="center"/>
      <protection locked="0"/>
    </xf>
    <xf numFmtId="0" fontId="50" fillId="7" borderId="0" xfId="0" applyFont="1" applyFill="1" applyBorder="1" applyAlignment="1" applyProtection="1">
      <alignment vertical="top"/>
      <protection locked="0"/>
    </xf>
    <xf numFmtId="0" fontId="50" fillId="7" borderId="0" xfId="0" applyFont="1" applyFill="1" applyBorder="1" applyAlignment="1" applyProtection="1"/>
    <xf numFmtId="0" fontId="50" fillId="7" borderId="0" xfId="0" applyFont="1" applyFill="1" applyBorder="1" applyAlignment="1" applyProtection="1">
      <alignment horizontal="left"/>
    </xf>
    <xf numFmtId="0" fontId="50" fillId="7" borderId="0" xfId="0" applyFont="1" applyFill="1" applyAlignment="1" applyProtection="1">
      <alignment horizontal="center" vertical="top"/>
    </xf>
    <xf numFmtId="0" fontId="54" fillId="0" borderId="0" xfId="1" applyFont="1" applyAlignment="1" applyProtection="1">
      <alignment vertical="center"/>
      <protection locked="0"/>
    </xf>
    <xf numFmtId="0" fontId="48" fillId="7" borderId="0" xfId="6" applyFont="1" applyFill="1" applyBorder="1" applyAlignment="1" applyProtection="1">
      <alignment horizontal="center" vertical="center"/>
      <protection locked="0"/>
    </xf>
    <xf numFmtId="0" fontId="48" fillId="7" borderId="0" xfId="6" applyFont="1" applyFill="1" applyBorder="1" applyAlignment="1" applyProtection="1">
      <alignment horizontal="center" vertical="center" wrapText="1"/>
      <protection locked="0"/>
    </xf>
    <xf numFmtId="0" fontId="109" fillId="7" borderId="0" xfId="1" applyFont="1" applyFill="1" applyAlignment="1" applyProtection="1">
      <alignment horizontal="center" vertical="center"/>
      <protection locked="0"/>
    </xf>
    <xf numFmtId="0" fontId="48" fillId="0" borderId="0" xfId="1" applyFont="1" applyAlignment="1" applyProtection="1">
      <alignment vertical="center"/>
      <protection locked="0"/>
    </xf>
    <xf numFmtId="0" fontId="129" fillId="7" borderId="118" xfId="6" applyFont="1" applyFill="1" applyBorder="1" applyAlignment="1" applyProtection="1">
      <alignment horizontal="left" vertical="center"/>
      <protection locked="0"/>
    </xf>
    <xf numFmtId="2" fontId="109" fillId="7" borderId="118" xfId="6" applyNumberFormat="1" applyFont="1" applyFill="1" applyBorder="1" applyAlignment="1" applyProtection="1">
      <alignment horizontal="center" vertical="center"/>
      <protection locked="0"/>
    </xf>
    <xf numFmtId="182" fontId="48" fillId="7" borderId="118" xfId="6" applyNumberFormat="1" applyFont="1" applyFill="1" applyBorder="1" applyAlignment="1" applyProtection="1">
      <alignment horizontal="center" vertical="center"/>
      <protection locked="0"/>
    </xf>
    <xf numFmtId="179" fontId="48" fillId="7" borderId="118" xfId="6" applyNumberFormat="1" applyFont="1" applyFill="1" applyBorder="1" applyAlignment="1" applyProtection="1">
      <alignment horizontal="center" vertical="center"/>
      <protection locked="0"/>
    </xf>
    <xf numFmtId="0" fontId="48" fillId="0" borderId="118" xfId="1" applyFont="1" applyBorder="1" applyAlignment="1" applyProtection="1">
      <alignment vertical="center"/>
      <protection locked="0"/>
    </xf>
    <xf numFmtId="2" fontId="109" fillId="7" borderId="0" xfId="6" applyNumberFormat="1" applyFont="1" applyFill="1" applyBorder="1" applyAlignment="1" applyProtection="1">
      <alignment horizontal="center" vertical="center"/>
      <protection locked="0"/>
    </xf>
    <xf numFmtId="182" fontId="48" fillId="7" borderId="0" xfId="6" applyNumberFormat="1" applyFont="1" applyFill="1" applyBorder="1" applyAlignment="1" applyProtection="1">
      <alignment horizontal="center" vertical="center"/>
      <protection locked="0"/>
    </xf>
    <xf numFmtId="179" fontId="48" fillId="7" borderId="0" xfId="6" applyNumberFormat="1" applyFont="1" applyFill="1" applyBorder="1" applyAlignment="1" applyProtection="1">
      <alignment horizontal="center" vertical="center"/>
      <protection locked="0"/>
    </xf>
    <xf numFmtId="0" fontId="48" fillId="0" borderId="0" xfId="1" applyFont="1" applyAlignment="1" applyProtection="1">
      <alignment horizontal="center" vertical="center"/>
      <protection locked="0"/>
    </xf>
    <xf numFmtId="0" fontId="54" fillId="8" borderId="1" xfId="1" applyFont="1" applyFill="1" applyBorder="1" applyAlignment="1" applyProtection="1">
      <alignment vertical="center"/>
      <protection locked="0"/>
    </xf>
    <xf numFmtId="0" fontId="48" fillId="0" borderId="1" xfId="1" applyFont="1" applyBorder="1" applyAlignment="1" applyProtection="1">
      <alignment vertical="center"/>
      <protection locked="0"/>
    </xf>
    <xf numFmtId="0" fontId="48" fillId="0" borderId="4" xfId="1" applyFont="1" applyBorder="1" applyAlignment="1" applyProtection="1">
      <alignment vertical="center"/>
      <protection locked="0"/>
    </xf>
    <xf numFmtId="0" fontId="48" fillId="7" borderId="1" xfId="1" applyFont="1" applyFill="1" applyBorder="1" applyAlignment="1" applyProtection="1">
      <alignment vertical="center"/>
      <protection locked="0"/>
    </xf>
    <xf numFmtId="0" fontId="48" fillId="7" borderId="4" xfId="1" applyFont="1" applyFill="1" applyBorder="1" applyAlignment="1" applyProtection="1">
      <alignment vertical="center"/>
      <protection locked="0"/>
    </xf>
    <xf numFmtId="0" fontId="138" fillId="0" borderId="0" xfId="1" applyFont="1" applyAlignment="1" applyProtection="1">
      <alignment vertical="center"/>
      <protection locked="0"/>
    </xf>
    <xf numFmtId="0" fontId="118" fillId="0" borderId="0" xfId="1" applyFont="1" applyAlignment="1" applyProtection="1">
      <alignment vertical="center"/>
      <protection locked="0"/>
    </xf>
    <xf numFmtId="0" fontId="127" fillId="0" borderId="118" xfId="1" applyFont="1" applyBorder="1" applyAlignment="1" applyProtection="1">
      <alignment vertical="center"/>
      <protection locked="0"/>
    </xf>
    <xf numFmtId="0" fontId="118" fillId="0" borderId="118" xfId="1" applyFont="1" applyBorder="1" applyAlignment="1" applyProtection="1">
      <alignment vertical="center"/>
      <protection locked="0"/>
    </xf>
    <xf numFmtId="0" fontId="54" fillId="0" borderId="118" xfId="1" applyFont="1" applyBorder="1" applyAlignment="1" applyProtection="1">
      <alignment vertical="center"/>
      <protection locked="0"/>
    </xf>
    <xf numFmtId="1" fontId="54" fillId="0" borderId="118" xfId="1" applyNumberFormat="1" applyFont="1" applyBorder="1" applyAlignment="1" applyProtection="1">
      <alignment vertical="center"/>
      <protection locked="0"/>
    </xf>
    <xf numFmtId="0" fontId="62" fillId="0" borderId="118" xfId="1" applyFont="1" applyBorder="1" applyAlignment="1" applyProtection="1">
      <alignment vertical="center"/>
      <protection locked="0"/>
    </xf>
    <xf numFmtId="177" fontId="54" fillId="0" borderId="0" xfId="1" applyNumberFormat="1" applyFont="1" applyAlignment="1" applyProtection="1">
      <alignment vertical="center"/>
      <protection locked="0"/>
    </xf>
    <xf numFmtId="0" fontId="48" fillId="0" borderId="0" xfId="1" applyFont="1" applyAlignment="1" applyProtection="1">
      <alignment horizontal="right" vertical="center"/>
      <protection locked="0"/>
    </xf>
    <xf numFmtId="0" fontId="44" fillId="0" borderId="0" xfId="1" applyFont="1" applyProtection="1">
      <protection locked="0"/>
    </xf>
    <xf numFmtId="0" fontId="44" fillId="0" borderId="0" xfId="1" applyFont="1" applyBorder="1" applyProtection="1">
      <protection locked="0"/>
    </xf>
    <xf numFmtId="0" fontId="44" fillId="2" borderId="0" xfId="1" applyFont="1" applyFill="1" applyBorder="1" applyProtection="1">
      <protection locked="0"/>
    </xf>
    <xf numFmtId="0" fontId="44" fillId="2" borderId="118" xfId="1" applyFont="1" applyFill="1" applyBorder="1" applyProtection="1">
      <protection locked="0"/>
    </xf>
    <xf numFmtId="0" fontId="124" fillId="2" borderId="118" xfId="1" applyFont="1" applyFill="1" applyBorder="1" applyProtection="1">
      <protection locked="0"/>
    </xf>
    <xf numFmtId="0" fontId="76" fillId="2" borderId="118" xfId="1" applyFont="1" applyFill="1" applyBorder="1" applyAlignment="1" applyProtection="1">
      <alignment horizontal="center"/>
      <protection locked="0"/>
    </xf>
    <xf numFmtId="0" fontId="44" fillId="2" borderId="0" xfId="1" applyFont="1" applyFill="1" applyProtection="1">
      <protection locked="0"/>
    </xf>
    <xf numFmtId="0" fontId="75" fillId="2" borderId="0" xfId="1" applyFont="1" applyFill="1" applyProtection="1">
      <protection locked="0"/>
    </xf>
    <xf numFmtId="0" fontId="131" fillId="2" borderId="0" xfId="1" applyFont="1" applyFill="1" applyProtection="1">
      <protection locked="0"/>
    </xf>
    <xf numFmtId="0" fontId="109" fillId="8" borderId="1" xfId="1" applyFont="1" applyFill="1" applyBorder="1" applyAlignment="1" applyProtection="1">
      <alignment horizontal="center" vertical="center"/>
      <protection locked="0"/>
    </xf>
    <xf numFmtId="0" fontId="44" fillId="7" borderId="0" xfId="1" applyFont="1" applyFill="1" applyProtection="1">
      <protection locked="0"/>
    </xf>
    <xf numFmtId="0" fontId="9" fillId="0" borderId="0" xfId="1" applyFont="1" applyProtection="1">
      <protection locked="0"/>
    </xf>
    <xf numFmtId="0" fontId="8" fillId="0" borderId="0" xfId="1" applyFont="1" applyAlignment="1" applyProtection="1">
      <alignment horizontal="center"/>
      <protection locked="0"/>
    </xf>
    <xf numFmtId="0" fontId="131" fillId="0" borderId="0" xfId="1" applyFont="1" applyBorder="1" applyProtection="1">
      <protection locked="0"/>
    </xf>
    <xf numFmtId="0" fontId="12" fillId="0" borderId="0" xfId="1" applyFont="1" applyProtection="1">
      <protection locked="0"/>
    </xf>
    <xf numFmtId="0" fontId="54" fillId="0" borderId="0" xfId="236" applyFont="1" applyProtection="1">
      <protection locked="0"/>
    </xf>
    <xf numFmtId="0" fontId="24" fillId="0" borderId="0" xfId="236" applyProtection="1">
      <protection locked="0"/>
    </xf>
    <xf numFmtId="0" fontId="48" fillId="8" borderId="96" xfId="236" applyNumberFormat="1" applyFont="1" applyFill="1" applyBorder="1" applyAlignment="1" applyProtection="1">
      <alignment horizontal="center" vertical="center"/>
      <protection locked="0"/>
    </xf>
    <xf numFmtId="179" fontId="48" fillId="9" borderId="23" xfId="236" applyNumberFormat="1" applyFont="1" applyFill="1" applyBorder="1" applyAlignment="1" applyProtection="1">
      <alignment horizontal="center" vertical="center"/>
      <protection locked="0"/>
    </xf>
    <xf numFmtId="0" fontId="48" fillId="0" borderId="0" xfId="236" applyFont="1" applyProtection="1">
      <protection locked="0"/>
    </xf>
    <xf numFmtId="2" fontId="48" fillId="0" borderId="0" xfId="236" applyNumberFormat="1" applyFont="1" applyBorder="1" applyProtection="1">
      <protection locked="0"/>
    </xf>
    <xf numFmtId="0" fontId="48" fillId="0" borderId="0" xfId="236" applyFont="1" applyFill="1" applyProtection="1">
      <protection locked="0"/>
    </xf>
    <xf numFmtId="0" fontId="75" fillId="2" borderId="0" xfId="1" applyFont="1" applyFill="1" applyBorder="1" applyProtection="1">
      <protection locked="0"/>
    </xf>
    <xf numFmtId="0" fontId="109" fillId="2" borderId="0" xfId="1" applyFont="1" applyFill="1" applyProtection="1">
      <protection locked="0"/>
    </xf>
    <xf numFmtId="0" fontId="121" fillId="2" borderId="0" xfId="1" applyFont="1" applyFill="1" applyProtection="1">
      <protection locked="0"/>
    </xf>
    <xf numFmtId="0" fontId="109" fillId="8" borderId="38" xfId="1" applyFont="1" applyFill="1" applyBorder="1" applyProtection="1">
      <protection locked="0"/>
    </xf>
    <xf numFmtId="0" fontId="109" fillId="8" borderId="44" xfId="1" applyFont="1" applyFill="1" applyBorder="1" applyAlignment="1" applyProtection="1">
      <alignment horizontal="center" vertical="center"/>
      <protection locked="0"/>
    </xf>
    <xf numFmtId="0" fontId="109" fillId="8" borderId="73" xfId="1" applyFont="1" applyFill="1" applyBorder="1" applyAlignment="1" applyProtection="1">
      <alignment horizontal="center" vertical="center"/>
      <protection locked="0"/>
    </xf>
    <xf numFmtId="0" fontId="109" fillId="8" borderId="81" xfId="1" applyFont="1" applyFill="1" applyBorder="1" applyAlignment="1" applyProtection="1">
      <alignment horizontal="center" vertical="center"/>
      <protection locked="0"/>
    </xf>
    <xf numFmtId="0" fontId="109" fillId="2" borderId="30" xfId="1" applyFont="1" applyFill="1" applyBorder="1" applyAlignment="1" applyProtection="1">
      <alignment horizontal="center"/>
      <protection locked="0"/>
    </xf>
    <xf numFmtId="0" fontId="109" fillId="2" borderId="27" xfId="1" applyFont="1" applyFill="1" applyBorder="1" applyAlignment="1" applyProtection="1">
      <alignment horizontal="center"/>
      <protection locked="0"/>
    </xf>
    <xf numFmtId="0" fontId="131" fillId="0" borderId="0" xfId="1" applyFont="1" applyAlignment="1" applyProtection="1">
      <alignment horizontal="left"/>
      <protection locked="0"/>
    </xf>
    <xf numFmtId="0" fontId="43" fillId="0" borderId="0" xfId="1" applyFont="1" applyAlignment="1" applyProtection="1">
      <alignment horizontal="left"/>
      <protection locked="0"/>
    </xf>
    <xf numFmtId="0" fontId="24" fillId="0" borderId="0" xfId="236" applyBorder="1" applyProtection="1">
      <protection locked="0"/>
    </xf>
    <xf numFmtId="0" fontId="48" fillId="0" borderId="65" xfId="236" applyFont="1" applyBorder="1" applyAlignment="1" applyProtection="1">
      <alignment horizontal="right"/>
      <protection locked="0"/>
    </xf>
    <xf numFmtId="228" fontId="74" fillId="7" borderId="63" xfId="236" applyNumberFormat="1" applyFont="1" applyFill="1" applyBorder="1" applyAlignment="1" applyProtection="1">
      <alignment horizontal="center" vertical="center"/>
      <protection locked="0"/>
    </xf>
    <xf numFmtId="0" fontId="48" fillId="0" borderId="60" xfId="236" applyFont="1" applyBorder="1" applyAlignment="1" applyProtection="1">
      <alignment horizontal="right"/>
      <protection locked="0"/>
    </xf>
    <xf numFmtId="228" fontId="74" fillId="7" borderId="58" xfId="236" applyNumberFormat="1" applyFont="1" applyFill="1" applyBorder="1" applyAlignment="1" applyProtection="1">
      <alignment horizontal="center" vertical="center"/>
      <protection locked="0"/>
    </xf>
    <xf numFmtId="0" fontId="54" fillId="7" borderId="0" xfId="236" applyFont="1" applyFill="1" applyProtection="1">
      <protection locked="0"/>
    </xf>
    <xf numFmtId="0" fontId="13" fillId="0" borderId="115" xfId="236" applyFont="1" applyBorder="1" applyAlignment="1" applyProtection="1">
      <alignment horizontal="right"/>
      <protection locked="0"/>
    </xf>
    <xf numFmtId="228" fontId="74" fillId="7" borderId="75" xfId="236" applyNumberFormat="1" applyFont="1" applyFill="1" applyBorder="1" applyAlignment="1" applyProtection="1">
      <alignment horizontal="center" vertical="center"/>
      <protection locked="0"/>
    </xf>
    <xf numFmtId="0" fontId="48" fillId="0" borderId="115" xfId="236" applyFont="1" applyBorder="1" applyAlignment="1" applyProtection="1">
      <alignment horizontal="right"/>
      <protection locked="0"/>
    </xf>
    <xf numFmtId="0" fontId="2" fillId="0" borderId="0" xfId="235" applyAlignment="1" applyProtection="1">
      <protection locked="0"/>
    </xf>
    <xf numFmtId="14" fontId="50" fillId="7" borderId="1" xfId="0" applyNumberFormat="1" applyFont="1" applyFill="1" applyBorder="1" applyAlignment="1">
      <alignment horizontal="center" vertical="center"/>
    </xf>
    <xf numFmtId="0" fontId="17" fillId="8" borderId="1" xfId="6" applyFont="1" applyFill="1" applyBorder="1" applyAlignment="1" applyProtection="1">
      <alignment horizontal="center" vertical="center" wrapText="1"/>
      <protection locked="0"/>
    </xf>
    <xf numFmtId="0" fontId="13" fillId="0" borderId="0" xfId="9" applyFont="1" applyProtection="1">
      <alignment vertical="center"/>
      <protection locked="0"/>
    </xf>
    <xf numFmtId="0" fontId="136" fillId="8" borderId="1" xfId="0" applyFont="1" applyFill="1" applyBorder="1" applyAlignment="1" applyProtection="1">
      <alignment horizontal="center" vertical="center"/>
      <protection locked="0"/>
    </xf>
    <xf numFmtId="0" fontId="17" fillId="8" borderId="1" xfId="6" applyFont="1" applyFill="1" applyBorder="1" applyAlignment="1" applyProtection="1">
      <alignment horizontal="center" vertical="center" wrapText="1"/>
      <protection locked="0"/>
    </xf>
    <xf numFmtId="0" fontId="17" fillId="0" borderId="0" xfId="6" applyFont="1" applyFill="1" applyBorder="1" applyAlignment="1" applyProtection="1">
      <alignment horizontal="left" vertical="center"/>
      <protection locked="0"/>
    </xf>
    <xf numFmtId="0" fontId="160" fillId="7" borderId="15" xfId="0" applyFont="1" applyFill="1" applyBorder="1" applyAlignment="1" applyProtection="1">
      <alignment vertical="top"/>
      <protection locked="0"/>
    </xf>
    <xf numFmtId="0" fontId="153" fillId="2" borderId="118" xfId="1" applyFont="1" applyFill="1" applyBorder="1" applyAlignment="1" applyProtection="1">
      <alignment vertical="top"/>
      <protection locked="0"/>
    </xf>
    <xf numFmtId="0" fontId="48" fillId="0" borderId="0" xfId="8" applyFont="1" applyAlignment="1" applyProtection="1">
      <alignment vertical="center"/>
      <protection locked="0"/>
    </xf>
    <xf numFmtId="0" fontId="48" fillId="0" borderId="0" xfId="4" applyFont="1" applyFill="1" applyBorder="1" applyAlignment="1" applyProtection="1">
      <alignment horizontal="center" vertical="center" wrapText="1"/>
      <protection locked="0"/>
    </xf>
    <xf numFmtId="187" fontId="48" fillId="0" borderId="0" xfId="4" applyNumberFormat="1" applyFont="1" applyFill="1" applyBorder="1" applyAlignment="1" applyProtection="1">
      <alignment horizontal="right"/>
      <protection locked="0"/>
    </xf>
    <xf numFmtId="187" fontId="48" fillId="7" borderId="0" xfId="4" applyNumberFormat="1" applyFont="1" applyFill="1" applyBorder="1" applyAlignment="1" applyProtection="1">
      <alignment horizontal="right"/>
      <protection locked="0"/>
    </xf>
    <xf numFmtId="187" fontId="48" fillId="0" borderId="0" xfId="4" applyNumberFormat="1" applyFont="1" applyFill="1" applyBorder="1" applyAlignment="1" applyProtection="1">
      <alignment horizontal="left"/>
      <protection locked="0"/>
    </xf>
    <xf numFmtId="179" fontId="47" fillId="7" borderId="0" xfId="6" applyNumberFormat="1" applyFont="1" applyFill="1" applyBorder="1" applyAlignment="1" applyProtection="1">
      <alignment horizontal="center" vertical="center"/>
    </xf>
    <xf numFmtId="0" fontId="47" fillId="0" borderId="0" xfId="9" applyFont="1" applyProtection="1">
      <alignment vertical="center"/>
      <protection locked="0"/>
    </xf>
    <xf numFmtId="0" fontId="47" fillId="0" borderId="0" xfId="9" applyFont="1" applyAlignment="1" applyProtection="1">
      <alignment horizontal="left" vertical="center"/>
      <protection locked="0"/>
    </xf>
    <xf numFmtId="0" fontId="50" fillId="7" borderId="0" xfId="0" applyFont="1" applyFill="1" applyAlignment="1">
      <alignment horizontal="center"/>
    </xf>
    <xf numFmtId="0" fontId="138" fillId="7" borderId="0" xfId="0" applyFont="1" applyFill="1"/>
    <xf numFmtId="180" fontId="57" fillId="7" borderId="0" xfId="6" applyNumberFormat="1" applyFont="1" applyFill="1" applyBorder="1" applyAlignment="1" applyProtection="1">
      <alignment horizontal="left" vertical="center"/>
      <protection locked="0"/>
    </xf>
    <xf numFmtId="176" fontId="48" fillId="7" borderId="0" xfId="6" applyNumberFormat="1" applyFont="1" applyFill="1" applyBorder="1" applyAlignment="1" applyProtection="1">
      <alignment horizontal="left"/>
    </xf>
    <xf numFmtId="176" fontId="48" fillId="7" borderId="0" xfId="6" applyNumberFormat="1" applyFont="1" applyFill="1" applyBorder="1" applyAlignment="1" applyProtection="1">
      <alignment horizontal="left" vertical="center"/>
    </xf>
    <xf numFmtId="176" fontId="128" fillId="7" borderId="0" xfId="6" applyNumberFormat="1" applyFont="1" applyFill="1" applyBorder="1" applyAlignment="1" applyProtection="1">
      <alignment horizontal="left"/>
    </xf>
    <xf numFmtId="180" fontId="48" fillId="0" borderId="0" xfId="6" applyNumberFormat="1" applyFont="1" applyBorder="1" applyAlignment="1" applyProtection="1">
      <alignment vertical="center"/>
      <protection locked="0"/>
    </xf>
    <xf numFmtId="180" fontId="54" fillId="0" borderId="0" xfId="6" applyNumberFormat="1" applyFont="1" applyBorder="1" applyProtection="1">
      <protection locked="0"/>
    </xf>
    <xf numFmtId="0" fontId="54" fillId="0" borderId="0" xfId="6" applyFont="1" applyBorder="1" applyAlignment="1" applyProtection="1">
      <protection locked="0"/>
    </xf>
    <xf numFmtId="180" fontId="54" fillId="0" borderId="0" xfId="6" applyNumberFormat="1" applyFont="1" applyBorder="1" applyAlignment="1" applyProtection="1">
      <protection locked="0"/>
    </xf>
    <xf numFmtId="183" fontId="54" fillId="0" borderId="0" xfId="6" applyNumberFormat="1" applyFont="1" applyBorder="1" applyAlignment="1" applyProtection="1">
      <protection locked="0"/>
    </xf>
    <xf numFmtId="180" fontId="57" fillId="7" borderId="120" xfId="6" applyNumberFormat="1" applyFont="1" applyFill="1" applyBorder="1" applyAlignment="1" applyProtection="1">
      <alignment horizontal="left" vertical="center"/>
      <protection locked="0"/>
    </xf>
    <xf numFmtId="0" fontId="48" fillId="0" borderId="121" xfId="6" applyFont="1" applyBorder="1" applyAlignment="1" applyProtection="1">
      <alignment vertical="center"/>
      <protection locked="0"/>
    </xf>
    <xf numFmtId="0" fontId="54" fillId="0" borderId="121" xfId="6" applyFont="1" applyBorder="1" applyAlignment="1" applyProtection="1">
      <protection locked="0"/>
    </xf>
    <xf numFmtId="0" fontId="54" fillId="0" borderId="122" xfId="6" applyFont="1" applyBorder="1" applyProtection="1">
      <protection locked="0"/>
    </xf>
    <xf numFmtId="176" fontId="48" fillId="7" borderId="123" xfId="6" applyNumberFormat="1" applyFont="1" applyFill="1" applyBorder="1" applyAlignment="1" applyProtection="1">
      <alignment horizontal="left"/>
    </xf>
    <xf numFmtId="0" fontId="54" fillId="0" borderId="124" xfId="6" applyFont="1" applyBorder="1" applyProtection="1">
      <protection locked="0"/>
    </xf>
    <xf numFmtId="176" fontId="48" fillId="7" borderId="123" xfId="6" applyNumberFormat="1" applyFont="1" applyFill="1" applyBorder="1" applyAlignment="1" applyProtection="1">
      <alignment horizontal="left" vertical="center"/>
    </xf>
    <xf numFmtId="176" fontId="128" fillId="7" borderId="125" xfId="6" applyNumberFormat="1" applyFont="1" applyFill="1" applyBorder="1" applyAlignment="1" applyProtection="1">
      <alignment horizontal="left"/>
    </xf>
    <xf numFmtId="180" fontId="13" fillId="0" borderId="126" xfId="6" applyNumberFormat="1" applyFont="1" applyBorder="1" applyProtection="1">
      <protection locked="0"/>
    </xf>
    <xf numFmtId="0" fontId="54" fillId="0" borderId="126" xfId="6" applyFont="1" applyBorder="1" applyAlignment="1" applyProtection="1">
      <protection locked="0"/>
    </xf>
    <xf numFmtId="0" fontId="54" fillId="0" borderId="127" xfId="6" applyFont="1" applyBorder="1" applyProtection="1">
      <protection locked="0"/>
    </xf>
    <xf numFmtId="0" fontId="54" fillId="0" borderId="0" xfId="8" applyNumberFormat="1" applyFont="1" applyAlignment="1" applyProtection="1">
      <alignment vertical="center"/>
      <protection locked="0"/>
    </xf>
    <xf numFmtId="0" fontId="54" fillId="0" borderId="0" xfId="8" applyNumberFormat="1" applyFont="1" applyAlignment="1" applyProtection="1">
      <alignment vertical="top"/>
      <protection locked="0"/>
    </xf>
    <xf numFmtId="0" fontId="48" fillId="8" borderId="1" xfId="6" applyFont="1" applyFill="1" applyBorder="1" applyAlignment="1" applyProtection="1">
      <alignment horizontal="center" vertical="center"/>
      <protection locked="0"/>
    </xf>
    <xf numFmtId="0" fontId="57" fillId="8" borderId="1" xfId="9" applyFont="1" applyFill="1" applyBorder="1" applyAlignment="1" applyProtection="1">
      <alignment horizontal="center" vertical="center" wrapText="1"/>
      <protection locked="0"/>
    </xf>
    <xf numFmtId="0" fontId="17" fillId="8" borderId="1" xfId="6" applyFont="1" applyFill="1" applyBorder="1" applyAlignment="1" applyProtection="1">
      <alignment horizontal="center" vertical="center" wrapText="1"/>
      <protection locked="0"/>
    </xf>
    <xf numFmtId="0" fontId="134" fillId="7" borderId="0" xfId="6" applyFont="1" applyFill="1" applyAlignment="1" applyProtection="1">
      <alignment vertical="center"/>
      <protection locked="0"/>
    </xf>
    <xf numFmtId="0" fontId="48" fillId="7" borderId="0" xfId="6" applyFont="1" applyFill="1" applyAlignment="1" applyProtection="1">
      <alignment horizontal="center" vertical="center"/>
      <protection locked="0"/>
    </xf>
    <xf numFmtId="0" fontId="13" fillId="7" borderId="118" xfId="6" applyFont="1" applyFill="1" applyBorder="1" applyAlignment="1" applyProtection="1">
      <alignment vertical="center"/>
      <protection hidden="1"/>
    </xf>
    <xf numFmtId="0" fontId="47" fillId="7" borderId="0" xfId="6" applyFont="1" applyFill="1" applyAlignment="1" applyProtection="1">
      <alignment vertical="center"/>
      <protection locked="0"/>
    </xf>
    <xf numFmtId="0" fontId="122" fillId="7" borderId="0" xfId="6" applyFont="1" applyFill="1" applyAlignment="1" applyProtection="1">
      <alignment vertical="center"/>
      <protection locked="0"/>
    </xf>
    <xf numFmtId="176" fontId="54" fillId="7" borderId="0" xfId="6" applyNumberFormat="1" applyFont="1" applyFill="1" applyProtection="1">
      <protection locked="0"/>
    </xf>
    <xf numFmtId="0" fontId="48" fillId="7" borderId="0" xfId="6" applyFont="1" applyFill="1" applyAlignment="1" applyProtection="1">
      <protection locked="0"/>
    </xf>
    <xf numFmtId="0" fontId="55" fillId="7" borderId="0" xfId="6" applyFont="1" applyFill="1" applyAlignment="1" applyProtection="1">
      <alignment vertical="center"/>
      <protection locked="0"/>
    </xf>
    <xf numFmtId="0" fontId="161" fillId="7" borderId="0" xfId="6" applyFont="1" applyFill="1" applyAlignment="1" applyProtection="1">
      <alignment vertical="center"/>
      <protection locked="0"/>
    </xf>
    <xf numFmtId="183" fontId="48" fillId="7" borderId="0" xfId="6" applyNumberFormat="1" applyFont="1" applyFill="1" applyAlignment="1" applyProtection="1">
      <alignment vertical="center"/>
      <protection locked="0"/>
    </xf>
    <xf numFmtId="179" fontId="48" fillId="7" borderId="0" xfId="6" applyNumberFormat="1" applyFont="1" applyFill="1" applyAlignment="1" applyProtection="1">
      <alignment vertical="center"/>
      <protection locked="0"/>
    </xf>
    <xf numFmtId="0" fontId="125" fillId="7" borderId="0" xfId="0" applyFont="1" applyFill="1" applyBorder="1"/>
    <xf numFmtId="0" fontId="138" fillId="7" borderId="0" xfId="0" applyFont="1" applyFill="1" applyBorder="1" applyAlignment="1">
      <alignment vertical="top"/>
    </xf>
    <xf numFmtId="0" fontId="13" fillId="7" borderId="0" xfId="6" applyFont="1" applyFill="1" applyBorder="1" applyAlignment="1" applyProtection="1">
      <alignment vertical="center"/>
      <protection hidden="1"/>
    </xf>
    <xf numFmtId="176" fontId="47" fillId="7" borderId="0" xfId="6" applyNumberFormat="1" applyFont="1" applyFill="1" applyProtection="1">
      <protection locked="0"/>
    </xf>
    <xf numFmtId="0" fontId="158" fillId="7" borderId="0" xfId="0" applyFont="1" applyFill="1"/>
    <xf numFmtId="0" fontId="158" fillId="7" borderId="0" xfId="0" applyFont="1" applyFill="1" applyBorder="1"/>
    <xf numFmtId="0" fontId="17" fillId="7" borderId="0" xfId="6" applyFont="1" applyFill="1" applyBorder="1" applyAlignment="1" applyProtection="1">
      <alignment vertical="center"/>
      <protection hidden="1"/>
    </xf>
    <xf numFmtId="0" fontId="47" fillId="7" borderId="0" xfId="8" applyFont="1" applyFill="1" applyAlignment="1" applyProtection="1">
      <alignment vertical="center"/>
      <protection locked="0"/>
    </xf>
    <xf numFmtId="0" fontId="162" fillId="7" borderId="0" xfId="6" applyFont="1" applyFill="1" applyAlignment="1" applyProtection="1">
      <alignment vertical="center"/>
      <protection locked="0"/>
    </xf>
    <xf numFmtId="187" fontId="162" fillId="7" borderId="0" xfId="6" applyNumberFormat="1" applyFont="1" applyFill="1" applyAlignment="1" applyProtection="1">
      <alignment vertical="center"/>
      <protection locked="0"/>
    </xf>
    <xf numFmtId="176" fontId="162" fillId="7" borderId="0" xfId="6" applyNumberFormat="1" applyFont="1" applyFill="1" applyAlignment="1" applyProtection="1">
      <alignment horizontal="right" vertical="center"/>
      <protection locked="0"/>
    </xf>
    <xf numFmtId="0" fontId="163" fillId="7" borderId="0" xfId="6" applyFont="1" applyFill="1" applyAlignment="1" applyProtection="1">
      <alignment vertical="center"/>
      <protection locked="0"/>
    </xf>
    <xf numFmtId="176" fontId="47" fillId="7" borderId="0" xfId="6" applyNumberFormat="1" applyFont="1" applyFill="1" applyAlignment="1" applyProtection="1">
      <alignment vertical="center"/>
      <protection locked="0"/>
    </xf>
    <xf numFmtId="176" fontId="47" fillId="7" borderId="0" xfId="8" applyNumberFormat="1" applyFont="1" applyFill="1" applyAlignment="1" applyProtection="1">
      <alignment vertical="center"/>
      <protection locked="0"/>
    </xf>
    <xf numFmtId="0" fontId="162" fillId="7" borderId="0" xfId="6" applyFont="1" applyFill="1" applyAlignment="1" applyProtection="1">
      <alignment horizontal="right" vertical="center"/>
      <protection locked="0"/>
    </xf>
    <xf numFmtId="0" fontId="158" fillId="7" borderId="0" xfId="0" applyFont="1" applyFill="1" applyBorder="1" applyAlignment="1">
      <alignment horizontal="center" vertical="center"/>
    </xf>
    <xf numFmtId="187" fontId="50" fillId="7" borderId="0" xfId="0" applyNumberFormat="1" applyFont="1" applyFill="1" applyAlignment="1">
      <alignment horizontal="right"/>
    </xf>
    <xf numFmtId="176" fontId="48" fillId="0" borderId="1" xfId="4" applyNumberFormat="1" applyFont="1" applyFill="1" applyBorder="1" applyAlignment="1" applyProtection="1">
      <protection locked="0"/>
    </xf>
    <xf numFmtId="0" fontId="138" fillId="7" borderId="0" xfId="0" applyFont="1" applyFill="1" applyBorder="1" applyProtection="1">
      <protection locked="0"/>
    </xf>
    <xf numFmtId="0" fontId="138" fillId="7" borderId="0" xfId="0" applyFont="1" applyFill="1" applyBorder="1" applyAlignment="1" applyProtection="1">
      <alignment horizontal="center"/>
      <protection locked="0"/>
    </xf>
    <xf numFmtId="188" fontId="48" fillId="0" borderId="0" xfId="3" applyNumberFormat="1" applyFont="1" applyBorder="1" applyProtection="1">
      <protection locked="0"/>
    </xf>
    <xf numFmtId="187" fontId="48" fillId="7" borderId="1" xfId="4" applyNumberFormat="1" applyFont="1" applyFill="1" applyBorder="1" applyAlignment="1" applyProtection="1">
      <alignment horizontal="right"/>
      <protection locked="0"/>
    </xf>
    <xf numFmtId="186" fontId="48" fillId="0" borderId="1" xfId="4" applyNumberFormat="1" applyFont="1" applyFill="1" applyBorder="1" applyAlignment="1" applyProtection="1">
      <alignment horizontal="center"/>
      <protection locked="0"/>
    </xf>
    <xf numFmtId="178" fontId="48" fillId="7" borderId="4" xfId="230" applyNumberFormat="1" applyFont="1" applyFill="1" applyBorder="1" applyAlignment="1" applyProtection="1">
      <alignment horizontal="right"/>
    </xf>
    <xf numFmtId="178" fontId="48" fillId="0" borderId="1" xfId="5" applyNumberFormat="1" applyFont="1" applyFill="1" applyBorder="1" applyAlignment="1" applyProtection="1">
      <alignment horizontal="right"/>
      <protection locked="0"/>
    </xf>
    <xf numFmtId="176" fontId="48" fillId="0" borderId="1" xfId="4" applyNumberFormat="1" applyFont="1" applyFill="1" applyBorder="1" applyAlignment="1" applyProtection="1">
      <alignment horizontal="left"/>
      <protection locked="0"/>
    </xf>
    <xf numFmtId="0" fontId="48" fillId="0" borderId="1" xfId="4" applyFont="1" applyFill="1" applyBorder="1" applyAlignment="1" applyProtection="1">
      <protection locked="0"/>
    </xf>
    <xf numFmtId="183" fontId="48" fillId="0" borderId="1" xfId="4" applyNumberFormat="1" applyFont="1" applyFill="1" applyBorder="1" applyAlignment="1" applyProtection="1">
      <protection locked="0"/>
    </xf>
    <xf numFmtId="188" fontId="48" fillId="0" borderId="0" xfId="3" applyNumberFormat="1" applyFont="1" applyFill="1" applyBorder="1" applyProtection="1">
      <protection locked="0"/>
    </xf>
    <xf numFmtId="187" fontId="48" fillId="0" borderId="1" xfId="4" applyNumberFormat="1" applyFont="1" applyFill="1" applyBorder="1" applyAlignment="1" applyProtection="1">
      <protection locked="0"/>
    </xf>
    <xf numFmtId="189" fontId="48" fillId="0" borderId="1" xfId="4" applyNumberFormat="1" applyFont="1" applyFill="1" applyBorder="1" applyAlignment="1" applyProtection="1">
      <protection locked="0"/>
    </xf>
    <xf numFmtId="187" fontId="48" fillId="0" borderId="1" xfId="4" applyNumberFormat="1" applyFont="1" applyFill="1" applyBorder="1" applyAlignment="1" applyProtection="1">
      <alignment horizontal="right"/>
      <protection locked="0"/>
    </xf>
    <xf numFmtId="186" fontId="48" fillId="0" borderId="1" xfId="4" applyNumberFormat="1" applyFont="1" applyFill="1" applyBorder="1" applyAlignment="1" applyProtection="1">
      <protection locked="0"/>
    </xf>
    <xf numFmtId="2" fontId="48" fillId="7" borderId="1" xfId="6" applyNumberFormat="1" applyFont="1" applyFill="1" applyBorder="1" applyAlignment="1" applyProtection="1">
      <alignment vertical="center"/>
      <protection locked="0"/>
    </xf>
    <xf numFmtId="177" fontId="48" fillId="0" borderId="0" xfId="6" applyNumberFormat="1" applyFont="1" applyBorder="1" applyAlignment="1" applyProtection="1">
      <alignment vertical="center"/>
      <protection locked="0"/>
    </xf>
    <xf numFmtId="177" fontId="48" fillId="0" borderId="1" xfId="5" applyNumberFormat="1" applyFont="1" applyFill="1" applyBorder="1" applyAlignment="1" applyProtection="1">
      <alignment horizontal="left"/>
      <protection locked="0"/>
    </xf>
    <xf numFmtId="0" fontId="48" fillId="7" borderId="1" xfId="8" applyFont="1" applyFill="1" applyBorder="1" applyAlignment="1" applyProtection="1">
      <alignment horizontal="left"/>
      <protection locked="0"/>
    </xf>
    <xf numFmtId="0" fontId="48" fillId="0" borderId="0" xfId="1" applyFont="1" applyBorder="1" applyAlignment="1" applyProtection="1">
      <alignment vertical="center"/>
      <protection locked="0"/>
    </xf>
    <xf numFmtId="0" fontId="133" fillId="2" borderId="1" xfId="7" applyFont="1" applyFill="1" applyBorder="1" applyProtection="1">
      <alignment vertical="center"/>
      <protection locked="0"/>
    </xf>
    <xf numFmtId="180" fontId="133" fillId="2" borderId="1" xfId="7" applyNumberFormat="1" applyFont="1" applyFill="1" applyBorder="1" applyProtection="1">
      <alignment vertical="center"/>
    </xf>
    <xf numFmtId="0" fontId="133" fillId="2" borderId="0" xfId="7" applyFont="1" applyFill="1" applyBorder="1" applyProtection="1">
      <alignment vertical="center"/>
      <protection locked="0"/>
    </xf>
    <xf numFmtId="0" fontId="48" fillId="0" borderId="0" xfId="2" applyFont="1" applyProtection="1">
      <alignment vertical="center"/>
      <protection locked="0"/>
    </xf>
    <xf numFmtId="0" fontId="17" fillId="8" borderId="2" xfId="6" applyFont="1" applyFill="1" applyBorder="1" applyAlignment="1" applyProtection="1">
      <alignment horizontal="center" vertical="center" wrapText="1"/>
      <protection locked="0"/>
    </xf>
    <xf numFmtId="0" fontId="61" fillId="0" borderId="0" xfId="6" applyFont="1" applyFill="1" applyAlignment="1" applyProtection="1">
      <alignment vertical="center"/>
      <protection locked="0"/>
    </xf>
    <xf numFmtId="176" fontId="48" fillId="7" borderId="1" xfId="6" applyNumberFormat="1" applyFont="1" applyFill="1" applyBorder="1" applyAlignment="1" applyProtection="1">
      <alignment vertical="center"/>
    </xf>
    <xf numFmtId="0" fontId="50" fillId="7" borderId="1" xfId="0" applyFont="1" applyFill="1" applyBorder="1" applyAlignment="1">
      <alignment vertical="center" wrapText="1"/>
    </xf>
    <xf numFmtId="0" fontId="50" fillId="9" borderId="1" xfId="0" applyFont="1" applyFill="1" applyBorder="1" applyAlignment="1" applyProtection="1">
      <alignment horizontal="center"/>
      <protection locked="0"/>
    </xf>
    <xf numFmtId="182" fontId="47" fillId="9" borderId="1" xfId="6" applyNumberFormat="1" applyFont="1" applyFill="1" applyBorder="1" applyAlignment="1" applyProtection="1">
      <alignment horizontal="center" vertical="center"/>
      <protection locked="0"/>
    </xf>
    <xf numFmtId="0" fontId="158" fillId="8" borderId="1" xfId="0" applyFont="1" applyFill="1" applyBorder="1" applyAlignment="1" applyProtection="1">
      <alignment horizontal="center" vertical="center"/>
      <protection locked="0"/>
    </xf>
    <xf numFmtId="0" fontId="156" fillId="8" borderId="1" xfId="0" applyFont="1" applyFill="1" applyBorder="1" applyAlignment="1" applyProtection="1">
      <alignment horizontal="center" vertical="center"/>
      <protection locked="0"/>
    </xf>
    <xf numFmtId="0" fontId="50" fillId="9" borderId="1" xfId="0" applyFont="1" applyFill="1" applyBorder="1" applyAlignment="1" applyProtection="1">
      <alignment horizontal="center" vertical="center"/>
      <protection locked="0"/>
    </xf>
    <xf numFmtId="0" fontId="158" fillId="7" borderId="0" xfId="0" applyFont="1" applyFill="1" applyBorder="1" applyAlignment="1"/>
    <xf numFmtId="0" fontId="159" fillId="7" borderId="0" xfId="0" applyFont="1" applyFill="1" applyBorder="1"/>
    <xf numFmtId="2" fontId="50" fillId="7" borderId="0" xfId="0" applyNumberFormat="1" applyFont="1" applyFill="1" applyBorder="1"/>
    <xf numFmtId="0" fontId="66" fillId="7" borderId="0" xfId="0" applyFont="1" applyFill="1" applyBorder="1"/>
    <xf numFmtId="176" fontId="162" fillId="7" borderId="0" xfId="8" applyNumberFormat="1" applyFont="1" applyFill="1" applyAlignment="1" applyProtection="1">
      <alignment horizontal="left" vertical="center"/>
    </xf>
    <xf numFmtId="176" fontId="48" fillId="7" borderId="6" xfId="6" applyNumberFormat="1" applyFont="1" applyFill="1" applyBorder="1" applyAlignment="1" applyProtection="1">
      <alignment vertical="center"/>
    </xf>
    <xf numFmtId="176" fontId="48" fillId="7" borderId="6" xfId="6" applyNumberFormat="1" applyFont="1" applyFill="1" applyBorder="1" applyAlignment="1" applyProtection="1">
      <alignment vertical="center"/>
      <protection locked="0"/>
    </xf>
    <xf numFmtId="0" fontId="13" fillId="7" borderId="0" xfId="6" applyFont="1" applyFill="1" applyBorder="1" applyAlignment="1" applyProtection="1">
      <alignment vertical="center"/>
      <protection locked="0"/>
    </xf>
    <xf numFmtId="176" fontId="48" fillId="7" borderId="11" xfId="6" applyNumberFormat="1" applyFont="1" applyFill="1" applyBorder="1" applyAlignment="1" applyProtection="1">
      <alignment vertical="center"/>
    </xf>
    <xf numFmtId="181" fontId="48" fillId="7" borderId="0" xfId="6" applyNumberFormat="1" applyFont="1" applyFill="1" applyBorder="1" applyAlignment="1" applyProtection="1">
      <alignment vertical="center"/>
    </xf>
    <xf numFmtId="176" fontId="48" fillId="7" borderId="12" xfId="6" applyNumberFormat="1" applyFont="1" applyFill="1" applyBorder="1" applyAlignment="1" applyProtection="1">
      <alignment vertical="center"/>
    </xf>
    <xf numFmtId="176" fontId="48" fillId="7" borderId="0" xfId="6" applyNumberFormat="1" applyFont="1" applyFill="1" applyBorder="1" applyAlignment="1" applyProtection="1">
      <alignment vertical="center"/>
    </xf>
    <xf numFmtId="181" fontId="48" fillId="7" borderId="0" xfId="6" applyNumberFormat="1" applyFont="1" applyFill="1" applyBorder="1" applyAlignment="1" applyProtection="1">
      <alignment horizontal="center" vertical="center"/>
    </xf>
    <xf numFmtId="176" fontId="48" fillId="7" borderId="0" xfId="6" applyNumberFormat="1" applyFont="1" applyFill="1" applyBorder="1" applyAlignment="1" applyProtection="1">
      <alignment vertical="center"/>
      <protection locked="0"/>
    </xf>
    <xf numFmtId="0" fontId="48" fillId="7" borderId="0" xfId="6" applyNumberFormat="1" applyFont="1" applyFill="1" applyBorder="1" applyAlignment="1" applyProtection="1">
      <alignment vertical="center"/>
      <protection locked="0"/>
    </xf>
    <xf numFmtId="0" fontId="54" fillId="7" borderId="0" xfId="8" applyFont="1" applyFill="1" applyBorder="1" applyAlignment="1" applyProtection="1">
      <alignment vertical="center"/>
      <protection locked="0"/>
    </xf>
    <xf numFmtId="0" fontId="47" fillId="7" borderId="0" xfId="8" applyFont="1" applyFill="1" applyBorder="1" applyAlignment="1" applyProtection="1">
      <alignment vertical="center"/>
      <protection locked="0"/>
    </xf>
    <xf numFmtId="176" fontId="162" fillId="7" borderId="0" xfId="8" applyNumberFormat="1" applyFont="1" applyFill="1" applyBorder="1" applyAlignment="1" applyProtection="1">
      <alignment horizontal="left" vertical="center"/>
    </xf>
    <xf numFmtId="176" fontId="47" fillId="7" borderId="0" xfId="8" applyNumberFormat="1" applyFont="1" applyFill="1" applyBorder="1" applyAlignment="1" applyProtection="1">
      <alignment vertical="center"/>
      <protection locked="0"/>
    </xf>
    <xf numFmtId="0" fontId="48" fillId="7" borderId="0" xfId="6" applyFont="1" applyFill="1" applyBorder="1" applyAlignment="1" applyProtection="1">
      <alignment vertical="center"/>
      <protection locked="0"/>
    </xf>
    <xf numFmtId="0" fontId="47" fillId="7" borderId="0" xfId="6" applyFont="1" applyFill="1" applyBorder="1" applyAlignment="1" applyProtection="1">
      <alignment vertical="center"/>
      <protection locked="0"/>
    </xf>
    <xf numFmtId="176" fontId="47" fillId="7" borderId="0" xfId="6" applyNumberFormat="1" applyFont="1" applyFill="1" applyBorder="1" applyAlignment="1" applyProtection="1">
      <alignment vertical="center"/>
      <protection locked="0"/>
    </xf>
    <xf numFmtId="180" fontId="48" fillId="7" borderId="0" xfId="6" applyNumberFormat="1" applyFont="1" applyFill="1" applyBorder="1" applyAlignment="1" applyProtection="1">
      <alignment vertical="center"/>
      <protection locked="0"/>
    </xf>
    <xf numFmtId="179" fontId="48" fillId="7" borderId="0" xfId="6" applyNumberFormat="1" applyFont="1" applyFill="1" applyBorder="1" applyAlignment="1" applyProtection="1">
      <alignment vertical="center"/>
      <protection locked="0"/>
    </xf>
    <xf numFmtId="181" fontId="47" fillId="7" borderId="0" xfId="6" applyNumberFormat="1" applyFont="1" applyFill="1" applyBorder="1" applyAlignment="1" applyProtection="1">
      <alignment vertical="center"/>
    </xf>
    <xf numFmtId="176" fontId="47" fillId="7" borderId="0" xfId="6" applyNumberFormat="1" applyFont="1" applyFill="1" applyBorder="1" applyAlignment="1" applyProtection="1">
      <alignment vertical="center"/>
    </xf>
    <xf numFmtId="181" fontId="47" fillId="7" borderId="0" xfId="6" applyNumberFormat="1" applyFont="1" applyFill="1" applyBorder="1" applyAlignment="1" applyProtection="1">
      <alignment horizontal="center" vertical="center"/>
    </xf>
    <xf numFmtId="0" fontId="48" fillId="7" borderId="7" xfId="6" applyFont="1" applyFill="1" applyBorder="1" applyAlignment="1" applyProtection="1">
      <alignment vertical="center"/>
      <protection locked="0"/>
    </xf>
    <xf numFmtId="176" fontId="48" fillId="7" borderId="7" xfId="6" applyNumberFormat="1" applyFont="1" applyFill="1" applyBorder="1" applyAlignment="1" applyProtection="1">
      <alignment vertical="center"/>
    </xf>
    <xf numFmtId="0" fontId="47" fillId="7" borderId="38" xfId="6" applyFont="1" applyFill="1" applyBorder="1" applyAlignment="1" applyProtection="1">
      <alignment vertical="center"/>
      <protection locked="0"/>
    </xf>
    <xf numFmtId="0" fontId="17" fillId="7" borderId="30" xfId="6" applyFont="1" applyFill="1" applyBorder="1" applyAlignment="1" applyProtection="1">
      <alignment vertical="center"/>
      <protection locked="0"/>
    </xf>
    <xf numFmtId="0" fontId="47" fillId="7" borderId="30" xfId="6" applyFont="1" applyFill="1" applyBorder="1" applyAlignment="1" applyProtection="1">
      <alignment vertical="center"/>
      <protection locked="0"/>
    </xf>
    <xf numFmtId="0" fontId="47" fillId="0" borderId="1" xfId="6" applyFont="1" applyBorder="1" applyAlignment="1" applyProtection="1">
      <alignment vertical="center"/>
      <protection locked="0"/>
    </xf>
    <xf numFmtId="0" fontId="141" fillId="7" borderId="0" xfId="592" applyFill="1" applyProtection="1">
      <protection locked="0"/>
    </xf>
    <xf numFmtId="0" fontId="50" fillId="7" borderId="119" xfId="0" applyFont="1" applyFill="1" applyBorder="1"/>
    <xf numFmtId="0" fontId="138" fillId="7" borderId="119" xfId="0" applyFont="1" applyFill="1" applyBorder="1" applyAlignment="1">
      <alignment vertical="top"/>
    </xf>
    <xf numFmtId="0" fontId="13" fillId="7" borderId="119" xfId="6" applyFont="1" applyFill="1" applyBorder="1" applyAlignment="1" applyProtection="1">
      <alignment vertical="center"/>
      <protection hidden="1"/>
    </xf>
    <xf numFmtId="0" fontId="122" fillId="0" borderId="0" xfId="6" applyFont="1" applyFill="1" applyBorder="1" applyAlignment="1" applyProtection="1">
      <alignment vertical="center"/>
      <protection locked="0"/>
    </xf>
    <xf numFmtId="0" fontId="63" fillId="0" borderId="0" xfId="6" applyFont="1" applyFill="1" applyBorder="1" applyAlignment="1" applyProtection="1">
      <alignment vertical="center"/>
      <protection locked="0"/>
    </xf>
    <xf numFmtId="0" fontId="13" fillId="0" borderId="0" xfId="2" applyFont="1" applyProtection="1">
      <alignment vertical="center"/>
      <protection locked="0"/>
    </xf>
    <xf numFmtId="0" fontId="17" fillId="8" borderId="1" xfId="6" applyFont="1" applyFill="1" applyBorder="1" applyAlignment="1" applyProtection="1">
      <alignment horizontal="center" vertical="center" wrapText="1"/>
      <protection locked="0"/>
    </xf>
    <xf numFmtId="0" fontId="141" fillId="7" borderId="118" xfId="592" applyFill="1" applyBorder="1" applyProtection="1">
      <protection locked="0"/>
    </xf>
    <xf numFmtId="0" fontId="47" fillId="8" borderId="1" xfId="8" applyFont="1" applyFill="1" applyBorder="1" applyAlignment="1" applyProtection="1">
      <alignment horizontal="center" vertical="center" wrapText="1"/>
      <protection locked="0"/>
    </xf>
    <xf numFmtId="0" fontId="17" fillId="8" borderId="1" xfId="6" applyFont="1" applyFill="1" applyBorder="1" applyAlignment="1" applyProtection="1">
      <alignment horizontal="center" vertical="center" wrapText="1"/>
      <protection locked="0"/>
    </xf>
    <xf numFmtId="0" fontId="47" fillId="0" borderId="0" xfId="8" applyFont="1" applyAlignment="1" applyProtection="1">
      <alignment vertical="center"/>
      <protection locked="0"/>
    </xf>
    <xf numFmtId="1" fontId="129" fillId="7" borderId="118" xfId="2" applyNumberFormat="1" applyFont="1" applyFill="1" applyBorder="1" applyProtection="1">
      <alignment vertical="center"/>
    </xf>
    <xf numFmtId="0" fontId="48" fillId="0" borderId="1" xfId="8" applyFont="1" applyBorder="1" applyAlignment="1" applyProtection="1">
      <alignment vertical="center"/>
      <protection locked="0"/>
    </xf>
    <xf numFmtId="180" fontId="48" fillId="7" borderId="1" xfId="4" applyNumberFormat="1" applyFont="1" applyFill="1" applyBorder="1" applyAlignment="1" applyProtection="1"/>
    <xf numFmtId="180" fontId="48" fillId="7" borderId="1" xfId="4" applyNumberFormat="1" applyFont="1" applyFill="1" applyBorder="1" applyAlignment="1" applyProtection="1">
      <alignment horizontal="right"/>
    </xf>
    <xf numFmtId="0" fontId="133" fillId="7" borderId="0" xfId="7" applyFont="1" applyFill="1" applyBorder="1" applyProtection="1">
      <alignment vertical="center"/>
      <protection locked="0"/>
    </xf>
    <xf numFmtId="0" fontId="17" fillId="8" borderId="1" xfId="6" applyFont="1" applyFill="1" applyBorder="1" applyAlignment="1" applyProtection="1">
      <alignment horizontal="center" vertical="center" wrapText="1"/>
      <protection locked="0"/>
    </xf>
    <xf numFmtId="2" fontId="158" fillId="7" borderId="0" xfId="0" applyNumberFormat="1" applyFont="1" applyFill="1" applyBorder="1"/>
    <xf numFmtId="2" fontId="50" fillId="7" borderId="0" xfId="0" applyNumberFormat="1" applyFont="1" applyFill="1"/>
    <xf numFmtId="0" fontId="47" fillId="7" borderId="4" xfId="6" applyFont="1" applyFill="1" applyBorder="1" applyAlignment="1" applyProtection="1">
      <alignment horizontal="left"/>
      <protection locked="0"/>
    </xf>
    <xf numFmtId="0" fontId="17" fillId="7" borderId="2" xfId="6" applyFont="1" applyFill="1" applyBorder="1" applyAlignment="1" applyProtection="1">
      <alignment horizontal="left"/>
      <protection locked="0"/>
    </xf>
    <xf numFmtId="0" fontId="50" fillId="7" borderId="1" xfId="0" applyFont="1" applyFill="1" applyBorder="1" applyAlignment="1">
      <alignment wrapText="1"/>
    </xf>
    <xf numFmtId="14" fontId="50" fillId="7" borderId="1" xfId="0" applyNumberFormat="1" applyFont="1" applyFill="1" applyBorder="1" applyAlignment="1">
      <alignment vertical="center"/>
    </xf>
    <xf numFmtId="0" fontId="50" fillId="7" borderId="1" xfId="0" applyFont="1" applyFill="1" applyBorder="1" applyAlignment="1">
      <alignment vertical="center"/>
    </xf>
    <xf numFmtId="0" fontId="17" fillId="0" borderId="1" xfId="6" applyFont="1" applyBorder="1" applyAlignment="1" applyProtection="1">
      <alignment horizontal="center" vertical="center"/>
      <protection locked="0"/>
    </xf>
    <xf numFmtId="0" fontId="138" fillId="7" borderId="0" xfId="0" applyFont="1" applyFill="1" applyBorder="1" applyAlignment="1" applyProtection="1">
      <alignment horizontal="center"/>
    </xf>
    <xf numFmtId="0" fontId="50" fillId="7" borderId="0" xfId="0" applyFont="1" applyFill="1" applyBorder="1" applyAlignment="1" applyProtection="1">
      <alignment vertical="center" wrapText="1"/>
      <protection locked="0"/>
    </xf>
    <xf numFmtId="0" fontId="47" fillId="0" borderId="0" xfId="6" applyFont="1" applyBorder="1" applyAlignment="1" applyProtection="1">
      <alignment vertical="center"/>
      <protection locked="0"/>
    </xf>
    <xf numFmtId="0" fontId="17" fillId="7" borderId="0" xfId="6" applyFont="1" applyFill="1" applyBorder="1" applyAlignment="1" applyProtection="1">
      <alignment horizontal="center" vertical="center" wrapText="1"/>
      <protection locked="0"/>
    </xf>
    <xf numFmtId="182" fontId="63" fillId="7" borderId="0" xfId="6" applyNumberFormat="1" applyFont="1" applyFill="1" applyBorder="1" applyAlignment="1" applyProtection="1">
      <alignment horizontal="center" vertical="center"/>
    </xf>
    <xf numFmtId="0" fontId="17" fillId="8" borderId="1" xfId="8" applyFont="1" applyFill="1" applyBorder="1" applyAlignment="1" applyProtection="1">
      <alignment horizontal="center" vertical="center" wrapText="1"/>
      <protection locked="0"/>
    </xf>
    <xf numFmtId="0" fontId="17" fillId="7" borderId="0" xfId="6" applyFont="1" applyFill="1" applyAlignment="1" applyProtection="1">
      <alignment vertical="center" wrapText="1"/>
      <protection locked="0"/>
    </xf>
    <xf numFmtId="0" fontId="157" fillId="7" borderId="0" xfId="0" applyFont="1" applyFill="1" applyAlignment="1">
      <alignment vertical="center"/>
    </xf>
    <xf numFmtId="0" fontId="157" fillId="7" borderId="0" xfId="0" applyFont="1" applyFill="1" applyAlignment="1">
      <alignment vertical="center" wrapText="1"/>
    </xf>
    <xf numFmtId="0" fontId="61" fillId="7" borderId="0" xfId="6" applyFont="1" applyFill="1" applyAlignment="1" applyProtection="1">
      <alignment vertical="center"/>
      <protection locked="0"/>
    </xf>
    <xf numFmtId="0" fontId="17" fillId="0" borderId="0" xfId="9" applyFont="1" applyBorder="1" applyAlignment="1" applyProtection="1">
      <alignment vertical="center"/>
      <protection locked="0"/>
    </xf>
    <xf numFmtId="0" fontId="161" fillId="0" borderId="0" xfId="6" applyFont="1" applyFill="1" applyAlignment="1" applyProtection="1">
      <protection locked="0"/>
    </xf>
    <xf numFmtId="9" fontId="47" fillId="7" borderId="0" xfId="230" applyFont="1" applyFill="1" applyBorder="1" applyAlignment="1" applyProtection="1">
      <alignment horizontal="center" vertical="center"/>
      <protection locked="0"/>
    </xf>
    <xf numFmtId="9" fontId="47" fillId="7" borderId="0" xfId="5" applyNumberFormat="1" applyFont="1" applyFill="1" applyBorder="1" applyAlignment="1" applyProtection="1">
      <alignment horizontal="center" vertical="center"/>
      <protection locked="0"/>
    </xf>
    <xf numFmtId="10" fontId="47" fillId="7" borderId="0" xfId="5" applyNumberFormat="1" applyFont="1" applyFill="1" applyBorder="1" applyAlignment="1" applyProtection="1">
      <alignment horizontal="center" vertical="center"/>
      <protection locked="0"/>
    </xf>
    <xf numFmtId="179" fontId="47" fillId="9" borderId="1" xfId="6" applyNumberFormat="1" applyFont="1" applyFill="1" applyBorder="1" applyAlignment="1" applyProtection="1">
      <alignment horizontal="center" vertical="center"/>
      <protection locked="0"/>
    </xf>
    <xf numFmtId="0" fontId="48" fillId="7" borderId="1" xfId="6" applyFont="1" applyFill="1" applyBorder="1" applyAlignment="1" applyProtection="1">
      <alignment vertical="center"/>
    </xf>
    <xf numFmtId="0" fontId="13" fillId="7" borderId="0" xfId="6" applyFont="1" applyFill="1" applyAlignment="1" applyProtection="1">
      <alignment vertical="center"/>
      <protection locked="0"/>
    </xf>
    <xf numFmtId="0" fontId="50" fillId="7" borderId="15" xfId="0" applyFont="1" applyFill="1" applyBorder="1"/>
    <xf numFmtId="0" fontId="48" fillId="7" borderId="0" xfId="6" applyFont="1" applyFill="1" applyAlignment="1" applyProtection="1">
      <alignment horizontal="right" vertical="center"/>
      <protection locked="0"/>
    </xf>
    <xf numFmtId="176" fontId="50" fillId="7" borderId="0" xfId="0" applyNumberFormat="1" applyFont="1" applyFill="1" applyBorder="1"/>
    <xf numFmtId="230" fontId="50" fillId="7" borderId="0" xfId="0" applyNumberFormat="1" applyFont="1" applyFill="1" applyBorder="1"/>
    <xf numFmtId="184" fontId="50" fillId="7" borderId="0" xfId="0" applyNumberFormat="1" applyFont="1" applyFill="1" applyBorder="1"/>
    <xf numFmtId="0" fontId="63" fillId="0" borderId="0" xfId="6" applyFont="1" applyAlignment="1" applyProtection="1">
      <alignment vertical="top"/>
      <protection locked="0"/>
    </xf>
    <xf numFmtId="0" fontId="54" fillId="8" borderId="2" xfId="0" applyFont="1" applyFill="1" applyBorder="1" applyAlignment="1" applyProtection="1">
      <alignment horizontal="center"/>
      <protection locked="0"/>
    </xf>
    <xf numFmtId="0" fontId="48" fillId="0" borderId="1" xfId="619" applyFont="1" applyFill="1" applyBorder="1" applyAlignment="1">
      <alignment horizontal="center" vertical="center" wrapText="1"/>
    </xf>
    <xf numFmtId="0" fontId="138" fillId="8" borderId="1" xfId="619" applyFont="1" applyFill="1" applyBorder="1" applyAlignment="1">
      <alignment horizontal="center" vertical="center" wrapText="1"/>
    </xf>
    <xf numFmtId="0" fontId="138" fillId="0" borderId="0" xfId="0" applyFont="1"/>
    <xf numFmtId="0" fontId="138" fillId="8" borderId="1" xfId="592" applyFont="1" applyFill="1" applyBorder="1" applyAlignment="1">
      <alignment horizontal="center" vertical="center" wrapText="1"/>
    </xf>
    <xf numFmtId="0" fontId="138" fillId="8" borderId="7" xfId="592" applyFont="1" applyFill="1" applyBorder="1" applyAlignment="1">
      <alignment horizontal="center" vertical="center" wrapText="1"/>
    </xf>
    <xf numFmtId="0" fontId="138" fillId="0" borderId="0" xfId="0" applyFont="1" applyBorder="1"/>
    <xf numFmtId="0" fontId="54" fillId="8" borderId="1" xfId="0" applyFont="1" applyFill="1" applyBorder="1" applyAlignment="1" applyProtection="1">
      <alignment horizontal="center" vertical="center"/>
      <protection locked="0"/>
    </xf>
    <xf numFmtId="0" fontId="54" fillId="8" borderId="1" xfId="0" applyFont="1" applyFill="1" applyBorder="1" applyAlignment="1" applyProtection="1">
      <alignment horizontal="center" vertical="center" wrapText="1"/>
      <protection locked="0"/>
    </xf>
    <xf numFmtId="0" fontId="136" fillId="7" borderId="1" xfId="0" applyFont="1" applyFill="1" applyBorder="1" applyProtection="1">
      <protection locked="0"/>
    </xf>
    <xf numFmtId="0" fontId="66" fillId="7" borderId="0" xfId="0" applyFont="1" applyFill="1" applyAlignment="1" applyProtection="1">
      <alignment horizontal="center"/>
      <protection locked="0"/>
    </xf>
    <xf numFmtId="0" fontId="158" fillId="7" borderId="1" xfId="0" applyFont="1" applyFill="1" applyBorder="1" applyProtection="1">
      <protection locked="0"/>
    </xf>
    <xf numFmtId="0" fontId="158" fillId="7" borderId="2" xfId="0" applyFont="1" applyFill="1" applyBorder="1" applyAlignment="1" applyProtection="1">
      <alignment horizontal="left"/>
      <protection locked="0"/>
    </xf>
    <xf numFmtId="0" fontId="158" fillId="7" borderId="4" xfId="0" applyFont="1" applyFill="1" applyBorder="1" applyAlignment="1" applyProtection="1">
      <alignment horizontal="left"/>
      <protection locked="0"/>
    </xf>
    <xf numFmtId="0" fontId="17" fillId="7" borderId="1" xfId="6" applyFont="1" applyFill="1" applyBorder="1" applyAlignment="1" applyProtection="1">
      <alignment horizontal="center" vertical="center" wrapText="1"/>
      <protection locked="0"/>
    </xf>
    <xf numFmtId="0" fontId="17" fillId="7" borderId="1" xfId="6" applyFont="1" applyFill="1" applyBorder="1" applyAlignment="1" applyProtection="1">
      <alignment horizontal="center" vertical="center"/>
      <protection locked="0"/>
    </xf>
    <xf numFmtId="1" fontId="47" fillId="9" borderId="1" xfId="6" applyNumberFormat="1" applyFont="1" applyFill="1" applyBorder="1" applyAlignment="1" applyProtection="1">
      <alignment horizontal="center" vertical="center"/>
      <protection locked="0"/>
    </xf>
    <xf numFmtId="9" fontId="166" fillId="9" borderId="1" xfId="8" applyNumberFormat="1" applyFont="1" applyFill="1" applyBorder="1" applyAlignment="1" applyProtection="1">
      <alignment horizontal="center" vertical="center"/>
      <protection locked="0"/>
    </xf>
    <xf numFmtId="0" fontId="47" fillId="9" borderId="1" xfId="6" applyFont="1" applyFill="1" applyBorder="1" applyAlignment="1" applyProtection="1">
      <alignment horizontal="center" vertical="center" wrapText="1"/>
      <protection locked="0"/>
    </xf>
    <xf numFmtId="0" fontId="47" fillId="9" borderId="1" xfId="6" applyFont="1" applyFill="1" applyBorder="1" applyAlignment="1" applyProtection="1">
      <alignment horizontal="center" vertical="center"/>
      <protection locked="0"/>
    </xf>
    <xf numFmtId="0" fontId="17" fillId="9" borderId="1" xfId="6" applyFont="1" applyFill="1" applyBorder="1" applyAlignment="1" applyProtection="1">
      <alignment horizontal="center" vertical="center"/>
      <protection locked="0"/>
    </xf>
    <xf numFmtId="0" fontId="158" fillId="9" borderId="1" xfId="0" applyFont="1" applyFill="1" applyBorder="1" applyAlignment="1" applyProtection="1">
      <alignment horizontal="center" vertical="center"/>
      <protection locked="0"/>
    </xf>
    <xf numFmtId="187" fontId="47" fillId="7" borderId="4" xfId="8" applyNumberFormat="1" applyFont="1" applyFill="1" applyBorder="1" applyAlignment="1" applyProtection="1">
      <alignment horizontal="center" vertical="center"/>
    </xf>
    <xf numFmtId="187" fontId="47" fillId="7" borderId="4" xfId="8" applyNumberFormat="1" applyFont="1" applyFill="1" applyBorder="1" applyAlignment="1" applyProtection="1">
      <alignment horizontal="center"/>
    </xf>
    <xf numFmtId="176" fontId="47" fillId="7" borderId="129" xfId="6" applyNumberFormat="1" applyFont="1" applyFill="1" applyBorder="1" applyAlignment="1" applyProtection="1">
      <alignment horizontal="center" vertical="center"/>
    </xf>
    <xf numFmtId="176" fontId="47" fillId="7" borderId="130" xfId="6" applyNumberFormat="1" applyFont="1" applyFill="1" applyBorder="1" applyAlignment="1" applyProtection="1">
      <alignment horizontal="center" vertical="center"/>
    </xf>
    <xf numFmtId="181" fontId="47" fillId="7" borderId="130" xfId="6" applyNumberFormat="1" applyFont="1" applyFill="1" applyBorder="1" applyAlignment="1" applyProtection="1">
      <alignment horizontal="center" vertical="center"/>
    </xf>
    <xf numFmtId="187" fontId="158" fillId="9" borderId="4" xfId="8" applyNumberFormat="1" applyFont="1" applyFill="1" applyBorder="1" applyAlignment="1" applyProtection="1">
      <alignment horizontal="center"/>
      <protection locked="0"/>
    </xf>
    <xf numFmtId="180" fontId="17" fillId="9" borderId="1" xfId="6" applyNumberFormat="1" applyFont="1" applyFill="1" applyBorder="1" applyAlignment="1" applyProtection="1">
      <alignment horizontal="center"/>
      <protection locked="0"/>
    </xf>
    <xf numFmtId="2" fontId="47" fillId="7" borderId="1" xfId="6" applyNumberFormat="1" applyFont="1" applyFill="1" applyBorder="1" applyAlignment="1" applyProtection="1">
      <alignment horizontal="center" vertical="center"/>
    </xf>
    <xf numFmtId="178" fontId="47" fillId="7" borderId="1" xfId="230" applyNumberFormat="1" applyFont="1" applyFill="1" applyBorder="1" applyAlignment="1" applyProtection="1">
      <alignment horizontal="center" vertical="center" wrapText="1"/>
    </xf>
    <xf numFmtId="178" fontId="47" fillId="7" borderId="1" xfId="230" applyNumberFormat="1" applyFont="1" applyFill="1" applyBorder="1" applyAlignment="1" applyProtection="1">
      <alignment horizontal="center" vertical="center"/>
    </xf>
    <xf numFmtId="182" fontId="47" fillId="7" borderId="1" xfId="6" applyNumberFormat="1" applyFont="1" applyFill="1" applyBorder="1" applyAlignment="1" applyProtection="1">
      <alignment horizontal="center" vertical="center"/>
    </xf>
    <xf numFmtId="2" fontId="47" fillId="7" borderId="1" xfId="230" applyNumberFormat="1" applyFont="1" applyFill="1" applyBorder="1" applyAlignment="1" applyProtection="1">
      <alignment horizontal="center" vertical="center"/>
    </xf>
    <xf numFmtId="179" fontId="47" fillId="7" borderId="1" xfId="6" applyNumberFormat="1" applyFont="1" applyFill="1" applyBorder="1" applyAlignment="1" applyProtection="1">
      <alignment horizontal="center" vertical="center"/>
    </xf>
    <xf numFmtId="2" fontId="47" fillId="7" borderId="1" xfId="8" applyNumberFormat="1" applyFont="1" applyFill="1" applyBorder="1" applyAlignment="1" applyProtection="1">
      <alignment horizontal="center" vertical="center"/>
    </xf>
    <xf numFmtId="10" fontId="47" fillId="7" borderId="1" xfId="230" applyNumberFormat="1" applyFont="1" applyFill="1" applyBorder="1" applyAlignment="1" applyProtection="1">
      <alignment horizontal="center" vertical="center"/>
    </xf>
    <xf numFmtId="2" fontId="47" fillId="7" borderId="1" xfId="9" applyNumberFormat="1" applyFont="1" applyFill="1" applyBorder="1" applyAlignment="1" applyProtection="1">
      <alignment horizontal="center" vertical="center"/>
    </xf>
    <xf numFmtId="180" fontId="47" fillId="7" borderId="1" xfId="5" applyNumberFormat="1" applyFont="1" applyFill="1" applyBorder="1" applyAlignment="1" applyProtection="1">
      <alignment horizontal="center" vertical="center"/>
    </xf>
    <xf numFmtId="180" fontId="47" fillId="7" borderId="2" xfId="5" applyNumberFormat="1" applyFont="1" applyFill="1" applyBorder="1" applyAlignment="1" applyProtection="1">
      <alignment horizontal="center" vertical="center"/>
    </xf>
    <xf numFmtId="179" fontId="47" fillId="7" borderId="2" xfId="6" applyNumberFormat="1" applyFont="1" applyFill="1" applyBorder="1" applyAlignment="1" applyProtection="1">
      <alignment horizontal="center" vertical="center"/>
    </xf>
    <xf numFmtId="177" fontId="47" fillId="7" borderId="1" xfId="6" applyNumberFormat="1" applyFont="1" applyFill="1" applyBorder="1" applyAlignment="1" applyProtection="1">
      <alignment horizontal="center" vertical="center"/>
    </xf>
    <xf numFmtId="0" fontId="57" fillId="7" borderId="0" xfId="9" applyFont="1" applyFill="1" applyProtection="1">
      <alignment vertical="center"/>
      <protection locked="0"/>
    </xf>
    <xf numFmtId="0" fontId="47" fillId="7" borderId="1" xfId="9" applyFont="1" applyFill="1" applyBorder="1" applyAlignment="1" applyProtection="1">
      <alignment horizontal="center" vertical="center"/>
    </xf>
    <xf numFmtId="1" fontId="136" fillId="7" borderId="1" xfId="0" applyNumberFormat="1" applyFont="1" applyFill="1" applyBorder="1" applyAlignment="1" applyProtection="1">
      <alignment horizontal="center" vertical="center"/>
    </xf>
    <xf numFmtId="1" fontId="136" fillId="7" borderId="1" xfId="0" applyNumberFormat="1" applyFont="1" applyFill="1" applyBorder="1" applyAlignment="1" applyProtection="1">
      <alignment horizontal="center" vertical="center"/>
      <protection locked="0"/>
    </xf>
    <xf numFmtId="0" fontId="140" fillId="7" borderId="1" xfId="0" applyFont="1" applyFill="1" applyBorder="1" applyAlignment="1" applyProtection="1">
      <alignment horizontal="center" vertical="center"/>
    </xf>
    <xf numFmtId="187" fontId="140" fillId="7" borderId="1" xfId="0" applyNumberFormat="1" applyFont="1" applyFill="1" applyBorder="1" applyAlignment="1" applyProtection="1">
      <alignment horizontal="center" vertical="center"/>
    </xf>
    <xf numFmtId="179" fontId="140" fillId="7" borderId="1" xfId="0" applyNumberFormat="1" applyFont="1" applyFill="1" applyBorder="1" applyAlignment="1" applyProtection="1">
      <alignment horizontal="center" vertical="center"/>
    </xf>
    <xf numFmtId="0" fontId="140" fillId="9" borderId="1" xfId="0" applyFont="1" applyFill="1" applyBorder="1" applyAlignment="1" applyProtection="1">
      <alignment horizontal="center" vertical="center"/>
      <protection locked="0"/>
    </xf>
    <xf numFmtId="178" fontId="140" fillId="9" borderId="1" xfId="0" applyNumberFormat="1" applyFont="1" applyFill="1" applyBorder="1" applyAlignment="1" applyProtection="1">
      <alignment horizontal="center" vertical="center"/>
      <protection locked="0"/>
    </xf>
    <xf numFmtId="0" fontId="52" fillId="9" borderId="0" xfId="0" applyFont="1" applyFill="1" applyAlignment="1" applyProtection="1">
      <alignment horizontal="center"/>
      <protection locked="0"/>
    </xf>
    <xf numFmtId="0" fontId="54" fillId="7" borderId="0" xfId="1" applyFont="1" applyFill="1" applyAlignment="1" applyProtection="1">
      <alignment vertical="center"/>
      <protection locked="0"/>
    </xf>
    <xf numFmtId="0" fontId="54" fillId="7" borderId="0" xfId="1" applyFont="1" applyFill="1" applyAlignment="1" applyProtection="1">
      <alignment horizontal="center" vertical="center"/>
      <protection locked="0"/>
    </xf>
    <xf numFmtId="0" fontId="54" fillId="7" borderId="118" xfId="1" applyFont="1" applyFill="1" applyBorder="1" applyAlignment="1" applyProtection="1">
      <alignment vertical="center"/>
      <protection locked="0"/>
    </xf>
    <xf numFmtId="182" fontId="55" fillId="7" borderId="0" xfId="1" applyNumberFormat="1" applyFont="1" applyFill="1" applyAlignment="1" applyProtection="1">
      <alignment vertical="center"/>
    </xf>
    <xf numFmtId="0" fontId="48" fillId="7" borderId="0" xfId="1" applyFont="1" applyFill="1" applyAlignment="1" applyProtection="1">
      <alignment vertical="center"/>
      <protection locked="0"/>
    </xf>
    <xf numFmtId="0" fontId="48" fillId="7" borderId="0" xfId="1" applyFont="1" applyFill="1" applyAlignment="1" applyProtection="1">
      <alignment horizontal="right" vertical="center"/>
      <protection locked="0"/>
    </xf>
    <xf numFmtId="182" fontId="128" fillId="7" borderId="0" xfId="1" applyNumberFormat="1" applyFont="1" applyFill="1" applyAlignment="1" applyProtection="1">
      <alignment horizontal="center" vertical="center"/>
    </xf>
    <xf numFmtId="182" fontId="138" fillId="7" borderId="0" xfId="1" applyNumberFormat="1" applyFont="1" applyFill="1" applyAlignment="1" applyProtection="1">
      <alignment horizontal="center" vertical="center"/>
    </xf>
    <xf numFmtId="182" fontId="58" fillId="7" borderId="0" xfId="1" applyNumberFormat="1" applyFont="1" applyFill="1" applyAlignment="1" applyProtection="1">
      <alignment horizontal="left" vertical="center"/>
    </xf>
    <xf numFmtId="0" fontId="48" fillId="7" borderId="1" xfId="4" applyFont="1" applyFill="1" applyBorder="1" applyAlignment="1" applyProtection="1">
      <alignment horizontal="left"/>
    </xf>
    <xf numFmtId="178" fontId="48" fillId="7" borderId="1" xfId="5" applyNumberFormat="1" applyFont="1" applyFill="1" applyBorder="1" applyAlignment="1" applyProtection="1">
      <alignment horizontal="right"/>
    </xf>
    <xf numFmtId="0" fontId="48" fillId="7" borderId="1" xfId="11" applyFont="1" applyFill="1" applyBorder="1" applyAlignment="1" applyProtection="1">
      <alignment horizontal="left" vertical="center"/>
    </xf>
    <xf numFmtId="187" fontId="48" fillId="7" borderId="1" xfId="4" applyNumberFormat="1" applyFont="1" applyFill="1" applyBorder="1" applyAlignment="1" applyProtection="1">
      <alignment horizontal="right"/>
    </xf>
    <xf numFmtId="0" fontId="48" fillId="7" borderId="1" xfId="8" applyFont="1" applyFill="1" applyBorder="1" applyAlignment="1" applyProtection="1">
      <alignment vertical="center"/>
      <protection locked="0"/>
    </xf>
    <xf numFmtId="229" fontId="48" fillId="7" borderId="1" xfId="4" applyNumberFormat="1" applyFont="1" applyFill="1" applyBorder="1" applyAlignment="1" applyProtection="1">
      <alignment horizontal="right"/>
    </xf>
    <xf numFmtId="180" fontId="48" fillId="7" borderId="1" xfId="7" applyNumberFormat="1" applyFont="1" applyFill="1" applyBorder="1" applyProtection="1">
      <alignment vertical="center"/>
    </xf>
    <xf numFmtId="178" fontId="48" fillId="7" borderId="1" xfId="5" applyNumberFormat="1" applyFont="1" applyFill="1" applyBorder="1" applyAlignment="1" applyProtection="1">
      <alignment vertical="center"/>
    </xf>
    <xf numFmtId="180" fontId="48" fillId="7" borderId="1" xfId="5" applyNumberFormat="1" applyFont="1" applyFill="1" applyBorder="1" applyAlignment="1" applyProtection="1"/>
    <xf numFmtId="0" fontId="54" fillId="9" borderId="0" xfId="3" applyFont="1" applyFill="1" applyProtection="1">
      <protection locked="0"/>
    </xf>
    <xf numFmtId="0" fontId="48" fillId="9" borderId="1" xfId="4" applyFont="1" applyFill="1" applyBorder="1" applyAlignment="1" applyProtection="1">
      <alignment horizontal="left"/>
      <protection locked="0"/>
    </xf>
    <xf numFmtId="178" fontId="48" fillId="9" borderId="1" xfId="5" applyNumberFormat="1" applyFont="1" applyFill="1" applyBorder="1" applyAlignment="1" applyProtection="1">
      <alignment horizontal="left"/>
      <protection locked="0"/>
    </xf>
    <xf numFmtId="178" fontId="48" fillId="9" borderId="1" xfId="5" applyNumberFormat="1" applyFont="1" applyFill="1" applyBorder="1" applyAlignment="1" applyProtection="1">
      <alignment horizontal="right"/>
      <protection locked="0"/>
    </xf>
    <xf numFmtId="185" fontId="48" fillId="9" borderId="1" xfId="5" applyNumberFormat="1" applyFont="1" applyFill="1" applyBorder="1" applyAlignment="1" applyProtection="1">
      <alignment horizontal="right"/>
      <protection locked="0"/>
    </xf>
    <xf numFmtId="186" fontId="48" fillId="9" borderId="1" xfId="4" applyNumberFormat="1" applyFont="1" applyFill="1" applyBorder="1" applyAlignment="1" applyProtection="1">
      <alignment horizontal="center"/>
      <protection locked="0"/>
    </xf>
    <xf numFmtId="185" fontId="48" fillId="9" borderId="1" xfId="4" applyNumberFormat="1" applyFont="1" applyFill="1" applyBorder="1" applyAlignment="1" applyProtection="1">
      <alignment horizontal="center"/>
      <protection locked="0"/>
    </xf>
    <xf numFmtId="0" fontId="48" fillId="9" borderId="1" xfId="8" applyFont="1" applyFill="1" applyBorder="1" applyAlignment="1" applyProtection="1">
      <alignment vertical="center"/>
      <protection locked="0"/>
    </xf>
    <xf numFmtId="0" fontId="48" fillId="9" borderId="1" xfId="7" applyFont="1" applyFill="1" applyBorder="1" applyProtection="1">
      <alignment vertical="center"/>
      <protection locked="0"/>
    </xf>
    <xf numFmtId="176" fontId="48" fillId="9" borderId="1" xfId="7" applyNumberFormat="1" applyFont="1" applyFill="1" applyBorder="1" applyProtection="1">
      <alignment vertical="center"/>
      <protection locked="0"/>
    </xf>
    <xf numFmtId="0" fontId="66" fillId="7" borderId="118" xfId="0" applyFont="1" applyFill="1" applyBorder="1" applyAlignment="1" applyProtection="1">
      <alignment horizontal="center" vertical="center"/>
      <protection locked="0"/>
    </xf>
    <xf numFmtId="0" fontId="52" fillId="9" borderId="118" xfId="0" applyFont="1" applyFill="1" applyBorder="1" applyAlignment="1" applyProtection="1">
      <alignment horizontal="center" vertical="center"/>
      <protection locked="0"/>
    </xf>
    <xf numFmtId="0" fontId="66" fillId="7" borderId="0" xfId="0" applyFont="1" applyFill="1" applyAlignment="1" applyProtection="1">
      <alignment horizontal="center" vertical="center"/>
      <protection locked="0"/>
    </xf>
    <xf numFmtId="2" fontId="48" fillId="7" borderId="1" xfId="0" applyNumberFormat="1" applyFont="1" applyFill="1" applyBorder="1" applyAlignment="1" applyProtection="1">
      <alignment horizontal="center"/>
      <protection locked="0"/>
    </xf>
    <xf numFmtId="227" fontId="48" fillId="7" borderId="1" xfId="0" applyNumberFormat="1" applyFont="1" applyFill="1" applyBorder="1" applyAlignment="1" applyProtection="1">
      <alignment horizontal="center"/>
      <protection locked="0"/>
    </xf>
    <xf numFmtId="0" fontId="50" fillId="7" borderId="1" xfId="0" applyFont="1" applyFill="1" applyBorder="1" applyAlignment="1" applyProtection="1">
      <alignment horizontal="center"/>
    </xf>
    <xf numFmtId="182" fontId="109" fillId="7" borderId="1" xfId="1" applyNumberFormat="1" applyFont="1" applyFill="1" applyBorder="1" applyAlignment="1" applyProtection="1">
      <alignment horizontal="center" vertical="center"/>
    </xf>
    <xf numFmtId="2" fontId="48" fillId="7" borderId="43" xfId="236" applyNumberFormat="1" applyFont="1" applyFill="1" applyBorder="1" applyAlignment="1" applyProtection="1">
      <alignment horizontal="center" vertical="center"/>
    </xf>
    <xf numFmtId="179" fontId="48" fillId="7" borderId="37" xfId="237" applyNumberFormat="1" applyFont="1" applyFill="1" applyBorder="1" applyAlignment="1" applyProtection="1">
      <alignment horizontal="center" vertical="center"/>
    </xf>
    <xf numFmtId="2" fontId="48" fillId="7" borderId="1" xfId="236" applyNumberFormat="1" applyFont="1" applyFill="1" applyBorder="1" applyAlignment="1" applyProtection="1">
      <alignment horizontal="center" vertical="center"/>
    </xf>
    <xf numFmtId="179" fontId="48" fillId="7" borderId="7" xfId="237" applyNumberFormat="1" applyFont="1" applyFill="1" applyBorder="1" applyAlignment="1" applyProtection="1">
      <alignment horizontal="center" vertical="center"/>
    </xf>
    <xf numFmtId="2" fontId="48" fillId="7" borderId="26" xfId="236" applyNumberFormat="1" applyFont="1" applyFill="1" applyBorder="1" applyAlignment="1" applyProtection="1">
      <alignment horizontal="center" vertical="center"/>
      <protection locked="0"/>
    </xf>
    <xf numFmtId="179" fontId="48" fillId="7" borderId="26" xfId="236" applyNumberFormat="1" applyFont="1" applyFill="1" applyBorder="1" applyAlignment="1" applyProtection="1">
      <alignment horizontal="center" vertical="center"/>
      <protection locked="0"/>
    </xf>
    <xf numFmtId="179" fontId="48" fillId="7" borderId="4" xfId="236" applyNumberFormat="1" applyFont="1" applyFill="1" applyBorder="1" applyAlignment="1" applyProtection="1">
      <alignment horizontal="center" vertical="center"/>
    </xf>
    <xf numFmtId="179" fontId="48" fillId="7" borderId="1" xfId="236" applyNumberFormat="1" applyFont="1" applyFill="1" applyBorder="1" applyAlignment="1" applyProtection="1">
      <alignment horizontal="center" vertical="center"/>
    </xf>
    <xf numFmtId="179" fontId="48" fillId="7" borderId="34" xfId="237" applyNumberFormat="1" applyFont="1" applyFill="1" applyBorder="1" applyAlignment="1" applyProtection="1">
      <alignment horizontal="center" vertical="center"/>
    </xf>
    <xf numFmtId="179" fontId="48" fillId="7" borderId="36" xfId="236" applyNumberFormat="1" applyFont="1" applyFill="1" applyBorder="1" applyAlignment="1" applyProtection="1">
      <alignment horizontal="center" vertical="center"/>
    </xf>
    <xf numFmtId="179" fontId="48" fillId="7" borderId="35" xfId="236" applyNumberFormat="1" applyFont="1" applyFill="1" applyBorder="1" applyAlignment="1" applyProtection="1">
      <alignment horizontal="center" vertical="center"/>
    </xf>
    <xf numFmtId="179" fontId="48" fillId="7" borderId="34" xfId="236" applyNumberFormat="1" applyFont="1" applyFill="1" applyBorder="1" applyAlignment="1" applyProtection="1">
      <alignment horizontal="center" vertical="center"/>
    </xf>
    <xf numFmtId="179" fontId="48" fillId="7" borderId="33" xfId="236" applyNumberFormat="1" applyFont="1" applyFill="1" applyBorder="1" applyAlignment="1" applyProtection="1">
      <alignment horizontal="center" vertical="center"/>
    </xf>
    <xf numFmtId="179" fontId="48" fillId="7" borderId="3" xfId="236" applyNumberFormat="1" applyFont="1" applyFill="1" applyBorder="1" applyAlignment="1" applyProtection="1">
      <alignment horizontal="center" vertical="center"/>
    </xf>
    <xf numFmtId="179" fontId="48" fillId="7" borderId="32" xfId="236" applyNumberFormat="1" applyFont="1" applyFill="1" applyBorder="1" applyAlignment="1" applyProtection="1">
      <alignment horizontal="center" vertical="center"/>
    </xf>
    <xf numFmtId="179" fontId="48" fillId="7" borderId="9" xfId="236" applyNumberFormat="1" applyFont="1" applyFill="1" applyBorder="1" applyAlignment="1" applyProtection="1">
      <alignment horizontal="center" vertical="center"/>
    </xf>
    <xf numFmtId="179" fontId="48" fillId="7" borderId="31" xfId="236" applyNumberFormat="1" applyFont="1" applyFill="1" applyBorder="1" applyAlignment="1" applyProtection="1">
      <alignment horizontal="center" vertical="center"/>
    </xf>
    <xf numFmtId="179" fontId="48" fillId="7" borderId="25" xfId="236" applyNumberFormat="1" applyFont="1" applyFill="1" applyBorder="1" applyAlignment="1" applyProtection="1">
      <alignment horizontal="center" vertical="center"/>
      <protection locked="0"/>
    </xf>
    <xf numFmtId="179" fontId="72" fillId="7" borderId="24" xfId="236" applyNumberFormat="1" applyFont="1" applyFill="1" applyBorder="1" applyAlignment="1" applyProtection="1">
      <alignment horizontal="center" vertical="center"/>
      <protection locked="0"/>
    </xf>
    <xf numFmtId="179" fontId="48" fillId="7" borderId="23" xfId="236" applyNumberFormat="1" applyFont="1" applyFill="1" applyBorder="1" applyAlignment="1" applyProtection="1">
      <alignment horizontal="center" vertical="center"/>
      <protection locked="0"/>
    </xf>
    <xf numFmtId="179" fontId="48" fillId="7" borderId="22" xfId="236" applyNumberFormat="1" applyFont="1" applyFill="1" applyBorder="1" applyAlignment="1" applyProtection="1">
      <alignment horizontal="center" vertical="center"/>
      <protection locked="0"/>
    </xf>
    <xf numFmtId="0" fontId="48" fillId="7" borderId="0" xfId="236" applyFont="1" applyFill="1" applyProtection="1">
      <protection locked="0"/>
    </xf>
    <xf numFmtId="228" fontId="71" fillId="7" borderId="21" xfId="236" applyNumberFormat="1" applyFont="1" applyFill="1" applyBorder="1" applyAlignment="1" applyProtection="1">
      <alignment horizontal="center" vertical="center"/>
    </xf>
    <xf numFmtId="179" fontId="71" fillId="7" borderId="20" xfId="236" applyNumberFormat="1" applyFont="1" applyFill="1" applyBorder="1" applyAlignment="1" applyProtection="1">
      <alignment horizontal="center" vertical="center"/>
    </xf>
    <xf numFmtId="179" fontId="58" fillId="7" borderId="19" xfId="236" applyNumberFormat="1" applyFont="1" applyFill="1" applyBorder="1" applyAlignment="1" applyProtection="1">
      <alignment horizontal="center" vertical="center"/>
    </xf>
    <xf numFmtId="228" fontId="108" fillId="7" borderId="21" xfId="236" applyNumberFormat="1" applyFont="1" applyFill="1" applyBorder="1" applyAlignment="1" applyProtection="1">
      <alignment horizontal="center" vertical="center"/>
    </xf>
    <xf numFmtId="179" fontId="108" fillId="7" borderId="20" xfId="236" applyNumberFormat="1" applyFont="1" applyFill="1" applyBorder="1" applyAlignment="1" applyProtection="1">
      <alignment horizontal="center" vertical="center"/>
    </xf>
    <xf numFmtId="179" fontId="109" fillId="7" borderId="2" xfId="1" applyNumberFormat="1" applyFont="1" applyFill="1" applyBorder="1" applyAlignment="1" applyProtection="1">
      <alignment horizontal="center" vertical="center"/>
    </xf>
    <xf numFmtId="179" fontId="109" fillId="7" borderId="58" xfId="1" applyNumberFormat="1" applyFont="1" applyFill="1" applyBorder="1" applyAlignment="1" applyProtection="1">
      <alignment horizontal="center" vertical="center"/>
    </xf>
    <xf numFmtId="179" fontId="109" fillId="7" borderId="57" xfId="1" applyNumberFormat="1" applyFont="1" applyFill="1" applyBorder="1" applyAlignment="1" applyProtection="1">
      <alignment horizontal="center" vertical="center"/>
    </xf>
    <xf numFmtId="179" fontId="109" fillId="7" borderId="80" xfId="1" applyNumberFormat="1" applyFont="1" applyFill="1" applyBorder="1" applyAlignment="1" applyProtection="1">
      <alignment horizontal="center" vertical="center"/>
    </xf>
    <xf numFmtId="179" fontId="109" fillId="7" borderId="53" xfId="1" applyNumberFormat="1" applyFont="1" applyFill="1" applyBorder="1" applyAlignment="1" applyProtection="1">
      <alignment horizontal="center" vertical="center"/>
    </xf>
    <xf numFmtId="179" fontId="109" fillId="7" borderId="51" xfId="1" applyNumberFormat="1" applyFont="1" applyFill="1" applyBorder="1" applyAlignment="1" applyProtection="1">
      <alignment horizontal="center" vertical="center"/>
    </xf>
    <xf numFmtId="0" fontId="9" fillId="7" borderId="0" xfId="1" applyFont="1" applyFill="1" applyProtection="1">
      <protection locked="0"/>
    </xf>
    <xf numFmtId="0" fontId="9" fillId="7" borderId="0" xfId="1" applyFont="1" applyFill="1" applyAlignment="1" applyProtection="1">
      <alignment horizontal="left"/>
    </xf>
    <xf numFmtId="0" fontId="9" fillId="7" borderId="0" xfId="1" applyFont="1" applyFill="1" applyAlignment="1" applyProtection="1">
      <alignment horizontal="center"/>
    </xf>
    <xf numFmtId="1" fontId="4" fillId="7" borderId="0" xfId="1" applyNumberFormat="1" applyFont="1" applyFill="1" applyAlignment="1" applyProtection="1">
      <alignment horizontal="right" vertical="top"/>
    </xf>
    <xf numFmtId="2" fontId="48" fillId="7" borderId="37" xfId="236" applyNumberFormat="1" applyFont="1" applyFill="1" applyBorder="1" applyAlignment="1" applyProtection="1">
      <alignment horizontal="center" vertical="center"/>
    </xf>
    <xf numFmtId="179" fontId="48" fillId="7" borderId="1" xfId="237" applyNumberFormat="1" applyFont="1" applyFill="1" applyBorder="1" applyAlignment="1" applyProtection="1">
      <alignment horizontal="center" vertical="center"/>
    </xf>
    <xf numFmtId="2" fontId="48" fillId="7" borderId="1" xfId="236" applyNumberFormat="1" applyFont="1" applyFill="1" applyBorder="1" applyAlignment="1" applyProtection="1">
      <alignment horizontal="center" vertical="center"/>
      <protection locked="0"/>
    </xf>
    <xf numFmtId="179" fontId="48" fillId="7" borderId="1" xfId="237" applyNumberFormat="1" applyFont="1" applyFill="1" applyBorder="1" applyAlignment="1" applyProtection="1">
      <alignment horizontal="center" vertical="center"/>
      <protection locked="0"/>
    </xf>
    <xf numFmtId="179" fontId="48" fillId="7" borderId="1" xfId="236" applyNumberFormat="1" applyFont="1" applyFill="1" applyBorder="1" applyAlignment="1" applyProtection="1">
      <alignment horizontal="center" vertical="center"/>
      <protection locked="0"/>
    </xf>
    <xf numFmtId="2" fontId="48" fillId="7" borderId="64" xfId="236" applyNumberFormat="1" applyFont="1" applyFill="1" applyBorder="1" applyAlignment="1" applyProtection="1">
      <alignment horizontal="left"/>
    </xf>
    <xf numFmtId="2" fontId="48" fillId="7" borderId="59" xfId="236" applyNumberFormat="1" applyFont="1" applyFill="1" applyBorder="1" applyAlignment="1" applyProtection="1">
      <alignment horizontal="left"/>
    </xf>
    <xf numFmtId="2" fontId="48" fillId="7" borderId="116" xfId="236" applyNumberFormat="1" applyFont="1" applyFill="1" applyBorder="1" applyAlignment="1" applyProtection="1">
      <alignment horizontal="left"/>
    </xf>
    <xf numFmtId="179" fontId="70" fillId="7" borderId="54" xfId="236" applyNumberFormat="1" applyFont="1" applyFill="1" applyBorder="1" applyAlignment="1" applyProtection="1">
      <alignment horizontal="left" vertical="center"/>
    </xf>
    <xf numFmtId="179" fontId="48" fillId="7" borderId="73" xfId="236" applyNumberFormat="1" applyFont="1" applyFill="1" applyBorder="1" applyAlignment="1" applyProtection="1">
      <alignment horizontal="center" vertical="center"/>
    </xf>
    <xf numFmtId="179" fontId="48" fillId="7" borderId="72" xfId="236" applyNumberFormat="1" applyFont="1" applyFill="1" applyBorder="1" applyAlignment="1" applyProtection="1">
      <alignment horizontal="center" vertical="center"/>
    </xf>
    <xf numFmtId="179" fontId="48" fillId="7" borderId="58" xfId="236" applyNumberFormat="1" applyFont="1" applyFill="1" applyBorder="1" applyAlignment="1" applyProtection="1">
      <alignment horizontal="center" vertical="center"/>
    </xf>
    <xf numFmtId="179" fontId="48" fillId="7" borderId="69" xfId="236" applyNumberFormat="1" applyFont="1" applyFill="1" applyBorder="1" applyAlignment="1" applyProtection="1">
      <alignment horizontal="center" vertical="center"/>
    </xf>
    <xf numFmtId="179" fontId="48" fillId="7" borderId="14" xfId="236" applyNumberFormat="1" applyFont="1" applyFill="1" applyBorder="1" applyAlignment="1" applyProtection="1">
      <alignment horizontal="center" vertical="center"/>
    </xf>
    <xf numFmtId="179" fontId="48" fillId="7" borderId="71" xfId="236" applyNumberFormat="1" applyFont="1" applyFill="1" applyBorder="1" applyAlignment="1" applyProtection="1">
      <alignment horizontal="center" vertical="center"/>
    </xf>
    <xf numFmtId="179" fontId="48" fillId="7" borderId="70" xfId="236" applyNumberFormat="1" applyFont="1" applyFill="1" applyBorder="1" applyAlignment="1" applyProtection="1">
      <alignment horizontal="center" vertical="center"/>
    </xf>
    <xf numFmtId="179" fontId="48" fillId="7" borderId="58" xfId="236" applyNumberFormat="1" applyFont="1" applyFill="1" applyBorder="1" applyAlignment="1" applyProtection="1">
      <alignment horizontal="center" vertical="center"/>
      <protection locked="0"/>
    </xf>
    <xf numFmtId="179" fontId="48" fillId="7" borderId="3" xfId="236" applyNumberFormat="1" applyFont="1" applyFill="1" applyBorder="1" applyAlignment="1" applyProtection="1">
      <alignment horizontal="center" vertical="center"/>
      <protection locked="0"/>
    </xf>
    <xf numFmtId="179" fontId="48" fillId="7" borderId="4" xfId="236" applyNumberFormat="1" applyFont="1" applyFill="1" applyBorder="1" applyAlignment="1" applyProtection="1">
      <alignment horizontal="center" vertical="center"/>
      <protection locked="0"/>
    </xf>
    <xf numFmtId="179" fontId="48" fillId="7" borderId="69" xfId="236" applyNumberFormat="1" applyFont="1" applyFill="1" applyBorder="1" applyAlignment="1" applyProtection="1">
      <alignment horizontal="center" vertical="center"/>
      <protection locked="0"/>
    </xf>
    <xf numFmtId="179" fontId="72" fillId="7" borderId="58" xfId="236" applyNumberFormat="1" applyFont="1" applyFill="1" applyBorder="1" applyAlignment="1" applyProtection="1">
      <alignment horizontal="center" vertical="center"/>
      <protection locked="0"/>
    </xf>
    <xf numFmtId="179" fontId="72" fillId="7" borderId="68" xfId="236" applyNumberFormat="1" applyFont="1" applyFill="1" applyBorder="1" applyAlignment="1" applyProtection="1">
      <alignment horizontal="center" vertical="center"/>
      <protection locked="0"/>
    </xf>
    <xf numFmtId="179" fontId="48" fillId="7" borderId="67" xfId="236" applyNumberFormat="1" applyFont="1" applyFill="1" applyBorder="1" applyAlignment="1" applyProtection="1">
      <alignment horizontal="center" vertical="center"/>
      <protection locked="0"/>
    </xf>
    <xf numFmtId="0" fontId="48" fillId="7" borderId="0" xfId="236" applyFont="1" applyFill="1" applyBorder="1" applyProtection="1">
      <protection locked="0"/>
    </xf>
    <xf numFmtId="179" fontId="74" fillId="7" borderId="43" xfId="236" applyNumberFormat="1" applyFont="1" applyFill="1" applyBorder="1" applyAlignment="1" applyProtection="1">
      <alignment horizontal="center" vertical="center"/>
    </xf>
    <xf numFmtId="179" fontId="74" fillId="7" borderId="62" xfId="236" applyNumberFormat="1" applyFont="1" applyFill="1" applyBorder="1" applyAlignment="1" applyProtection="1">
      <alignment horizontal="center" vertical="center"/>
    </xf>
    <xf numFmtId="179" fontId="74" fillId="7" borderId="1" xfId="236" applyNumberFormat="1" applyFont="1" applyFill="1" applyBorder="1" applyAlignment="1" applyProtection="1">
      <alignment horizontal="center" vertical="center"/>
    </xf>
    <xf numFmtId="179" fontId="74" fillId="7" borderId="57" xfId="236" applyNumberFormat="1" applyFont="1" applyFill="1" applyBorder="1" applyAlignment="1" applyProtection="1">
      <alignment horizontal="center" vertical="center"/>
    </xf>
    <xf numFmtId="179" fontId="74" fillId="7" borderId="5" xfId="236" applyNumberFormat="1" applyFont="1" applyFill="1" applyBorder="1" applyAlignment="1" applyProtection="1">
      <alignment horizontal="center" vertical="center"/>
    </xf>
    <xf numFmtId="179" fontId="74" fillId="7" borderId="117" xfId="236" applyNumberFormat="1" applyFont="1" applyFill="1" applyBorder="1" applyAlignment="1" applyProtection="1">
      <alignment horizontal="center" vertical="center"/>
    </xf>
    <xf numFmtId="179" fontId="73" fillId="7" borderId="52" xfId="236" applyNumberFormat="1" applyFont="1" applyFill="1" applyBorder="1" applyAlignment="1" applyProtection="1">
      <alignment horizontal="center" vertical="center"/>
    </xf>
    <xf numFmtId="179" fontId="73" fillId="7" borderId="51" xfId="236" applyNumberFormat="1" applyFont="1" applyFill="1" applyBorder="1" applyAlignment="1" applyProtection="1">
      <alignment horizontal="center" vertical="center"/>
    </xf>
    <xf numFmtId="0" fontId="9" fillId="7" borderId="0" xfId="1" applyFont="1" applyFill="1" applyAlignment="1" applyProtection="1">
      <alignment horizontal="left"/>
      <protection locked="0"/>
    </xf>
    <xf numFmtId="0" fontId="44" fillId="7" borderId="0" xfId="1" applyFont="1" applyFill="1" applyAlignment="1" applyProtection="1">
      <alignment horizontal="left"/>
    </xf>
    <xf numFmtId="1" fontId="44" fillId="7" borderId="0" xfId="1" applyNumberFormat="1" applyFont="1" applyFill="1" applyAlignment="1" applyProtection="1">
      <alignment vertical="top"/>
    </xf>
    <xf numFmtId="179" fontId="58" fillId="7" borderId="0" xfId="236" applyNumberFormat="1" applyFont="1" applyFill="1" applyAlignment="1" applyProtection="1">
      <alignment horizontal="center" vertical="center"/>
      <protection locked="0"/>
    </xf>
    <xf numFmtId="0" fontId="48" fillId="7" borderId="0" xfId="236" applyNumberFormat="1" applyFont="1" applyFill="1" applyBorder="1" applyAlignment="1" applyProtection="1">
      <alignment horizontal="left" vertical="top"/>
      <protection locked="0"/>
    </xf>
    <xf numFmtId="0" fontId="44" fillId="7" borderId="0" xfId="1" applyFont="1" applyFill="1" applyAlignment="1" applyProtection="1">
      <alignment horizontal="center"/>
    </xf>
    <xf numFmtId="179" fontId="70" fillId="7" borderId="16" xfId="236" applyNumberFormat="1" applyFont="1" applyFill="1" applyBorder="1" applyAlignment="1" applyProtection="1">
      <alignment horizontal="left" vertical="center"/>
    </xf>
    <xf numFmtId="179" fontId="48" fillId="7" borderId="29" xfId="236" applyNumberFormat="1" applyFont="1" applyFill="1" applyBorder="1" applyAlignment="1" applyProtection="1">
      <alignment horizontal="center" vertical="center"/>
    </xf>
    <xf numFmtId="179" fontId="48" fillId="7" borderId="28" xfId="236" applyNumberFormat="1" applyFont="1" applyFill="1" applyBorder="1" applyAlignment="1" applyProtection="1">
      <alignment horizontal="center" vertical="center"/>
    </xf>
    <xf numFmtId="179" fontId="48" fillId="7" borderId="29" xfId="236" applyNumberFormat="1" applyFont="1" applyFill="1" applyBorder="1" applyAlignment="1" applyProtection="1">
      <alignment horizontal="center" vertical="center"/>
      <protection locked="0"/>
    </xf>
    <xf numFmtId="179" fontId="48" fillId="7" borderId="28" xfId="236" applyNumberFormat="1" applyFont="1" applyFill="1" applyBorder="1" applyAlignment="1" applyProtection="1">
      <alignment horizontal="center" vertical="center"/>
      <protection locked="0"/>
    </xf>
    <xf numFmtId="179" fontId="72" fillId="7" borderId="29" xfId="236" applyNumberFormat="1" applyFont="1" applyFill="1" applyBorder="1" applyAlignment="1" applyProtection="1">
      <alignment horizontal="center" vertical="center"/>
      <protection locked="0"/>
    </xf>
    <xf numFmtId="228" fontId="71" fillId="7" borderId="21" xfId="236" applyNumberFormat="1" applyFont="1" applyFill="1" applyBorder="1" applyAlignment="1" applyProtection="1">
      <alignment horizontal="center" vertical="center"/>
      <protection locked="0"/>
    </xf>
    <xf numFmtId="179" fontId="71" fillId="7" borderId="19" xfId="236" applyNumberFormat="1" applyFont="1" applyFill="1" applyBorder="1" applyAlignment="1" applyProtection="1">
      <alignment horizontal="center" vertical="center"/>
    </xf>
    <xf numFmtId="0" fontId="48" fillId="9" borderId="38" xfId="236" applyNumberFormat="1" applyFont="1" applyFill="1" applyBorder="1" applyAlignment="1" applyProtection="1">
      <alignment horizontal="left" vertical="center"/>
      <protection locked="0"/>
    </xf>
    <xf numFmtId="0" fontId="48" fillId="9" borderId="34" xfId="236" applyNumberFormat="1" applyFont="1" applyFill="1" applyBorder="1" applyAlignment="1" applyProtection="1">
      <alignment horizontal="center" vertical="center"/>
      <protection locked="0"/>
    </xf>
    <xf numFmtId="0" fontId="48" fillId="9" borderId="97" xfId="236" applyNumberFormat="1" applyFont="1" applyFill="1" applyBorder="1" applyAlignment="1" applyProtection="1">
      <alignment horizontal="left" vertical="center"/>
      <protection locked="0"/>
    </xf>
    <xf numFmtId="0" fontId="48" fillId="9" borderId="9" xfId="236" applyNumberFormat="1" applyFont="1" applyFill="1" applyBorder="1" applyAlignment="1" applyProtection="1">
      <alignment horizontal="center" vertical="center"/>
      <protection locked="0"/>
    </xf>
    <xf numFmtId="0" fontId="48" fillId="9" borderId="30" xfId="236" applyNumberFormat="1" applyFont="1" applyFill="1" applyBorder="1" applyAlignment="1" applyProtection="1">
      <alignment horizontal="left" vertical="center"/>
      <protection locked="0"/>
    </xf>
    <xf numFmtId="0" fontId="48" fillId="9" borderId="4" xfId="236" applyNumberFormat="1" applyFont="1" applyFill="1" applyBorder="1" applyAlignment="1" applyProtection="1">
      <alignment horizontal="center" vertical="center"/>
      <protection locked="0"/>
    </xf>
    <xf numFmtId="0" fontId="48" fillId="9" borderId="27" xfId="236" applyNumberFormat="1" applyFont="1" applyFill="1" applyBorder="1" applyAlignment="1" applyProtection="1">
      <alignment horizontal="left" vertical="center"/>
      <protection locked="0"/>
    </xf>
    <xf numFmtId="0" fontId="48" fillId="9" borderId="23" xfId="236" applyNumberFormat="1" applyFont="1" applyFill="1" applyBorder="1" applyAlignment="1" applyProtection="1">
      <alignment horizontal="center" vertical="center"/>
      <protection locked="0"/>
    </xf>
    <xf numFmtId="0" fontId="109" fillId="7" borderId="0" xfId="1" applyFont="1" applyFill="1" applyProtection="1">
      <protection locked="0"/>
    </xf>
    <xf numFmtId="0" fontId="48" fillId="9" borderId="38" xfId="236" applyNumberFormat="1" applyFont="1" applyFill="1" applyBorder="1" applyAlignment="1" applyProtection="1">
      <alignment horizontal="center" vertical="center"/>
      <protection locked="0"/>
    </xf>
    <xf numFmtId="0" fontId="48" fillId="9" borderId="30" xfId="236" applyNumberFormat="1" applyFont="1" applyFill="1" applyBorder="1" applyAlignment="1" applyProtection="1">
      <alignment horizontal="center" vertical="center"/>
      <protection locked="0"/>
    </xf>
    <xf numFmtId="0" fontId="65" fillId="9" borderId="30" xfId="236" applyNumberFormat="1" applyFont="1" applyFill="1" applyBorder="1" applyAlignment="1" applyProtection="1">
      <alignment horizontal="center" vertical="center"/>
      <protection locked="0"/>
    </xf>
    <xf numFmtId="0" fontId="13" fillId="9" borderId="30" xfId="236" applyNumberFormat="1" applyFont="1" applyFill="1" applyBorder="1" applyAlignment="1" applyProtection="1">
      <alignment horizontal="center" vertical="center"/>
      <protection locked="0"/>
    </xf>
    <xf numFmtId="0" fontId="48" fillId="9" borderId="27" xfId="236" applyNumberFormat="1" applyFont="1" applyFill="1" applyBorder="1" applyAlignment="1" applyProtection="1">
      <alignment horizontal="center" vertical="center"/>
      <protection locked="0"/>
    </xf>
    <xf numFmtId="0" fontId="52" fillId="9" borderId="15" xfId="0" applyFont="1" applyFill="1" applyBorder="1" applyAlignment="1" applyProtection="1">
      <alignment horizontal="center"/>
      <protection locked="0"/>
    </xf>
    <xf numFmtId="0" fontId="52" fillId="9" borderId="15" xfId="0" applyFont="1" applyFill="1" applyBorder="1" applyAlignment="1" applyProtection="1">
      <alignment horizontal="center" vertical="center"/>
      <protection locked="0"/>
    </xf>
    <xf numFmtId="182" fontId="50" fillId="7" borderId="1" xfId="0" applyNumberFormat="1" applyFont="1" applyFill="1" applyBorder="1" applyAlignment="1" applyProtection="1">
      <alignment horizontal="center"/>
    </xf>
    <xf numFmtId="0" fontId="50" fillId="7" borderId="0" xfId="0" applyFont="1" applyFill="1" applyAlignment="1" applyProtection="1">
      <alignment horizontal="left"/>
    </xf>
    <xf numFmtId="0" fontId="50" fillId="7" borderId="0" xfId="0" applyFont="1" applyFill="1" applyAlignment="1" applyProtection="1">
      <alignment horizontal="center" vertical="top"/>
      <protection locked="0"/>
    </xf>
    <xf numFmtId="0" fontId="50" fillId="7" borderId="0" xfId="0" applyFont="1" applyFill="1" applyAlignment="1" applyProtection="1">
      <alignment horizontal="left"/>
      <protection locked="0"/>
    </xf>
    <xf numFmtId="0" fontId="51" fillId="7" borderId="0" xfId="0" applyFont="1" applyFill="1" applyBorder="1" applyAlignment="1" applyProtection="1">
      <alignment horizontal="right"/>
      <protection locked="0"/>
    </xf>
    <xf numFmtId="0" fontId="168" fillId="8" borderId="1" xfId="0" applyFont="1" applyFill="1" applyBorder="1" applyAlignment="1" applyProtection="1">
      <alignment horizontal="center" vertical="center"/>
      <protection locked="0"/>
    </xf>
    <xf numFmtId="0" fontId="168" fillId="8" borderId="1" xfId="0" applyFont="1" applyFill="1" applyBorder="1" applyAlignment="1" applyProtection="1">
      <alignment horizontal="center" vertical="center" wrapText="1"/>
      <protection locked="0"/>
    </xf>
    <xf numFmtId="0" fontId="50" fillId="7" borderId="0" xfId="0" applyFont="1" applyFill="1" applyBorder="1" applyAlignment="1" applyProtection="1">
      <alignment horizontal="left" vertical="center"/>
      <protection locked="0"/>
    </xf>
    <xf numFmtId="0" fontId="49" fillId="7" borderId="0" xfId="0" applyFont="1" applyFill="1" applyProtection="1">
      <protection locked="0"/>
    </xf>
    <xf numFmtId="177" fontId="50" fillId="7" borderId="0" xfId="0" applyNumberFormat="1" applyFont="1" applyFill="1" applyAlignment="1" applyProtection="1">
      <alignment horizontal="right" vertical="center"/>
      <protection locked="0"/>
    </xf>
    <xf numFmtId="0" fontId="168" fillId="7" borderId="0" xfId="0" applyFont="1" applyFill="1" applyBorder="1" applyAlignment="1" applyProtection="1">
      <alignment horizontal="right"/>
      <protection locked="0"/>
    </xf>
    <xf numFmtId="0" fontId="168" fillId="7" borderId="0" xfId="0" applyFont="1" applyFill="1" applyBorder="1" applyAlignment="1" applyProtection="1">
      <alignment horizontal="left"/>
      <protection locked="0"/>
    </xf>
    <xf numFmtId="0" fontId="56" fillId="8" borderId="1" xfId="0" applyFont="1" applyFill="1" applyBorder="1" applyAlignment="1" applyProtection="1">
      <alignment horizontal="center" vertical="center"/>
      <protection locked="0"/>
    </xf>
    <xf numFmtId="0" fontId="135" fillId="8" borderId="1" xfId="0" applyFont="1" applyFill="1" applyBorder="1" applyAlignment="1" applyProtection="1">
      <alignment horizontal="center" vertical="center"/>
      <protection locked="0"/>
    </xf>
    <xf numFmtId="0" fontId="56" fillId="8" borderId="1" xfId="0" applyFont="1" applyFill="1" applyBorder="1" applyAlignment="1" applyProtection="1">
      <alignment horizontal="center"/>
      <protection locked="0"/>
    </xf>
    <xf numFmtId="0" fontId="56" fillId="7" borderId="1" xfId="0" applyFont="1" applyFill="1" applyBorder="1" applyAlignment="1" applyProtection="1">
      <alignment horizontal="center" vertical="center"/>
      <protection locked="0"/>
    </xf>
    <xf numFmtId="0" fontId="157" fillId="7" borderId="0" xfId="0" applyFont="1" applyFill="1" applyProtection="1">
      <protection locked="0"/>
    </xf>
    <xf numFmtId="0" fontId="157" fillId="7" borderId="0" xfId="0" applyFont="1" applyFill="1" applyAlignment="1" applyProtection="1">
      <alignment horizontal="right" vertical="center"/>
      <protection locked="0"/>
    </xf>
    <xf numFmtId="0" fontId="157" fillId="7" borderId="0" xfId="0" applyFont="1" applyFill="1" applyAlignment="1" applyProtection="1">
      <alignment horizontal="left" vertical="center"/>
      <protection locked="0"/>
    </xf>
    <xf numFmtId="0" fontId="125" fillId="7" borderId="15" xfId="0" applyFont="1" applyFill="1" applyBorder="1" applyAlignment="1" applyProtection="1">
      <protection locked="0"/>
    </xf>
    <xf numFmtId="0" fontId="50" fillId="7" borderId="0" xfId="0" applyFont="1" applyFill="1" applyAlignment="1" applyProtection="1">
      <alignment horizontal="right" vertical="top"/>
      <protection locked="0"/>
    </xf>
    <xf numFmtId="0" fontId="168" fillId="8" borderId="1" xfId="0" applyFont="1" applyFill="1" applyBorder="1" applyAlignment="1" applyProtection="1">
      <alignment horizontal="center" wrapText="1"/>
      <protection locked="0"/>
    </xf>
    <xf numFmtId="0" fontId="50" fillId="7" borderId="0" xfId="0" applyFont="1" applyFill="1" applyAlignment="1" applyProtection="1">
      <alignment horizontal="right"/>
    </xf>
    <xf numFmtId="0" fontId="47" fillId="8" borderId="1" xfId="621" applyFont="1" applyFill="1" applyBorder="1" applyAlignment="1" applyProtection="1">
      <alignment horizontal="center" vertical="center" wrapText="1"/>
      <protection locked="0"/>
    </xf>
    <xf numFmtId="0" fontId="158" fillId="8" borderId="1" xfId="0" applyFont="1" applyFill="1" applyBorder="1" applyAlignment="1" applyProtection="1">
      <alignment horizontal="center" vertical="center" wrapText="1"/>
      <protection locked="0"/>
    </xf>
    <xf numFmtId="180" fontId="47" fillId="0" borderId="0" xfId="6" applyNumberFormat="1" applyFont="1" applyAlignment="1" applyProtection="1">
      <alignment vertical="center"/>
      <protection locked="0"/>
    </xf>
    <xf numFmtId="0" fontId="63" fillId="8" borderId="1" xfId="621" applyFont="1" applyFill="1" applyBorder="1" applyAlignment="1" applyProtection="1">
      <alignment horizontal="center" vertical="center" wrapText="1"/>
      <protection locked="0"/>
    </xf>
    <xf numFmtId="0" fontId="157" fillId="8" borderId="1" xfId="0" applyFont="1" applyFill="1" applyBorder="1" applyAlignment="1" applyProtection="1">
      <alignment horizontal="center" vertical="center" wrapText="1"/>
      <protection locked="0"/>
    </xf>
    <xf numFmtId="0" fontId="17" fillId="8" borderId="1" xfId="621" applyFont="1" applyFill="1" applyBorder="1" applyAlignment="1" applyProtection="1">
      <alignment horizontal="center" vertical="center" wrapText="1"/>
      <protection locked="0"/>
    </xf>
    <xf numFmtId="182" fontId="169" fillId="7" borderId="0" xfId="6" applyNumberFormat="1" applyFont="1" applyFill="1" applyBorder="1" applyAlignment="1" applyProtection="1">
      <alignment horizontal="left" vertical="center"/>
      <protection locked="0"/>
    </xf>
    <xf numFmtId="0" fontId="48" fillId="0" borderId="1" xfId="0" applyFont="1" applyBorder="1" applyAlignment="1" applyProtection="1">
      <alignment horizontal="center"/>
      <protection locked="0"/>
    </xf>
    <xf numFmtId="0" fontId="138" fillId="7" borderId="0" xfId="0" applyFont="1" applyFill="1" applyBorder="1" applyAlignment="1" applyProtection="1">
      <alignment horizontal="center" vertical="center" wrapText="1"/>
      <protection locked="0"/>
    </xf>
    <xf numFmtId="0" fontId="138" fillId="7" borderId="0" xfId="0" applyFont="1" applyFill="1" applyBorder="1" applyAlignment="1" applyProtection="1">
      <alignment horizontal="left" vertical="center"/>
      <protection locked="0"/>
    </xf>
    <xf numFmtId="0" fontId="158" fillId="7" borderId="0" xfId="0" applyFont="1" applyFill="1" applyBorder="1" applyProtection="1">
      <protection locked="0"/>
    </xf>
    <xf numFmtId="0" fontId="158" fillId="7" borderId="37" xfId="0" applyFont="1" applyFill="1" applyBorder="1" applyAlignment="1" applyProtection="1">
      <alignment horizontal="center" vertical="center"/>
      <protection locked="0"/>
    </xf>
    <xf numFmtId="0" fontId="157" fillId="7" borderId="2" xfId="0" applyFont="1" applyFill="1" applyBorder="1" applyAlignment="1" applyProtection="1">
      <alignment horizontal="left"/>
      <protection locked="0"/>
    </xf>
    <xf numFmtId="0" fontId="158" fillId="7" borderId="26" xfId="0" applyFont="1" applyFill="1" applyBorder="1" applyProtection="1">
      <protection locked="0"/>
    </xf>
    <xf numFmtId="231" fontId="50" fillId="7" borderId="0" xfId="0" applyNumberFormat="1" applyFont="1" applyFill="1" applyAlignment="1" applyProtection="1">
      <alignment horizontal="left"/>
      <protection locked="0"/>
    </xf>
    <xf numFmtId="179" fontId="158" fillId="7" borderId="1" xfId="0" applyNumberFormat="1" applyFont="1" applyFill="1" applyBorder="1" applyProtection="1">
      <protection locked="0"/>
    </xf>
    <xf numFmtId="0" fontId="13" fillId="8" borderId="1" xfId="6" applyFont="1" applyFill="1" applyBorder="1" applyAlignment="1" applyProtection="1">
      <alignment horizontal="center" vertical="center"/>
      <protection locked="0"/>
    </xf>
    <xf numFmtId="179" fontId="158" fillId="7" borderId="26" xfId="0" applyNumberFormat="1" applyFont="1" applyFill="1" applyBorder="1" applyProtection="1">
      <protection locked="0"/>
    </xf>
    <xf numFmtId="0" fontId="48" fillId="8" borderId="1" xfId="6" applyFont="1" applyFill="1" applyBorder="1" applyAlignment="1" applyProtection="1">
      <alignment horizontal="center" vertical="center" wrapText="1"/>
      <protection locked="0"/>
    </xf>
    <xf numFmtId="0" fontId="138" fillId="8" borderId="1" xfId="0" applyFont="1" applyFill="1" applyBorder="1" applyAlignment="1" applyProtection="1">
      <alignment vertical="center" wrapText="1"/>
      <protection locked="0"/>
    </xf>
    <xf numFmtId="0" fontId="138" fillId="8" borderId="1" xfId="0" applyFont="1" applyFill="1" applyBorder="1" applyAlignment="1" applyProtection="1">
      <alignment horizontal="center" vertical="center" wrapText="1"/>
      <protection locked="0"/>
    </xf>
    <xf numFmtId="187" fontId="138" fillId="9" borderId="1" xfId="0" applyNumberFormat="1" applyFont="1" applyFill="1" applyBorder="1" applyAlignment="1" applyProtection="1">
      <alignment horizontal="left"/>
      <protection locked="0"/>
    </xf>
    <xf numFmtId="0" fontId="138" fillId="9" borderId="1" xfId="0" applyFont="1" applyFill="1" applyBorder="1" applyProtection="1">
      <protection locked="0"/>
    </xf>
    <xf numFmtId="0" fontId="138" fillId="9" borderId="4" xfId="0" applyFont="1" applyFill="1" applyBorder="1" applyAlignment="1" applyProtection="1">
      <alignment horizontal="left"/>
      <protection locked="0"/>
    </xf>
    <xf numFmtId="0" fontId="138" fillId="9" borderId="1" xfId="0" applyFont="1" applyFill="1" applyBorder="1" applyAlignment="1" applyProtection="1">
      <alignment horizontal="left"/>
      <protection locked="0"/>
    </xf>
    <xf numFmtId="0" fontId="54" fillId="7" borderId="15" xfId="2" applyFont="1" applyFill="1" applyBorder="1" applyProtection="1">
      <alignment vertical="center"/>
      <protection locked="0"/>
    </xf>
    <xf numFmtId="0" fontId="13" fillId="7" borderId="0" xfId="2" applyFont="1" applyFill="1" applyBorder="1" applyProtection="1">
      <alignment vertical="center"/>
      <protection locked="0"/>
    </xf>
    <xf numFmtId="0" fontId="141" fillId="7" borderId="0" xfId="592" applyFill="1" applyBorder="1" applyAlignment="1" applyProtection="1">
      <alignment vertical="center"/>
      <protection locked="0"/>
    </xf>
    <xf numFmtId="0" fontId="54" fillId="7" borderId="0" xfId="2" applyFont="1" applyFill="1" applyBorder="1" applyProtection="1">
      <alignment vertical="center"/>
      <protection locked="0"/>
    </xf>
    <xf numFmtId="0" fontId="48" fillId="8" borderId="1" xfId="4" applyFont="1" applyFill="1" applyBorder="1" applyAlignment="1" applyProtection="1">
      <alignment horizontal="left" vertical="center" wrapText="1"/>
      <protection locked="0"/>
    </xf>
    <xf numFmtId="0" fontId="48" fillId="8" borderId="1" xfId="4" applyFont="1" applyFill="1" applyBorder="1" applyAlignment="1" applyProtection="1">
      <alignment vertical="center" wrapText="1"/>
      <protection locked="0"/>
    </xf>
    <xf numFmtId="0" fontId="48" fillId="8" borderId="1" xfId="4" applyFont="1" applyFill="1" applyBorder="1" applyAlignment="1" applyProtection="1">
      <alignment horizontal="center" vertical="center" wrapText="1"/>
      <protection locked="0"/>
    </xf>
    <xf numFmtId="0" fontId="13" fillId="8" borderId="1" xfId="4" applyFont="1" applyFill="1" applyBorder="1" applyAlignment="1" applyProtection="1">
      <alignment horizontal="center" vertical="center" wrapText="1"/>
      <protection locked="0"/>
    </xf>
    <xf numFmtId="0" fontId="48" fillId="8" borderId="1" xfId="3" applyFont="1" applyFill="1" applyBorder="1" applyAlignment="1" applyProtection="1">
      <alignment horizontal="center" vertical="center" wrapText="1"/>
      <protection locked="0"/>
    </xf>
    <xf numFmtId="0" fontId="48" fillId="8" borderId="1" xfId="3" applyFont="1" applyFill="1" applyBorder="1" applyAlignment="1" applyProtection="1">
      <alignment horizontal="center" vertical="center"/>
      <protection locked="0"/>
    </xf>
    <xf numFmtId="0" fontId="48" fillId="8" borderId="4" xfId="4" applyFont="1" applyFill="1" applyBorder="1" applyAlignment="1" applyProtection="1">
      <alignment horizontal="center" vertical="center" wrapText="1"/>
      <protection locked="0"/>
    </xf>
    <xf numFmtId="0" fontId="138" fillId="7" borderId="0" xfId="0" applyFont="1" applyFill="1" applyProtection="1">
      <protection locked="0"/>
    </xf>
    <xf numFmtId="0" fontId="48" fillId="7" borderId="1" xfId="4" applyFont="1" applyFill="1" applyBorder="1" applyAlignment="1" applyProtection="1">
      <alignment horizontal="left"/>
      <protection locked="0"/>
    </xf>
    <xf numFmtId="185" fontId="48" fillId="7" borderId="1" xfId="4" applyNumberFormat="1" applyFont="1" applyFill="1" applyBorder="1" applyAlignment="1" applyProtection="1">
      <alignment horizontal="center"/>
      <protection locked="0"/>
    </xf>
    <xf numFmtId="176" fontId="48" fillId="7" borderId="1" xfId="7" applyNumberFormat="1" applyFont="1" applyFill="1" applyBorder="1" applyProtection="1">
      <alignment vertical="center"/>
      <protection locked="0"/>
    </xf>
    <xf numFmtId="0" fontId="48" fillId="7" borderId="1" xfId="0" applyFont="1" applyFill="1" applyBorder="1" applyAlignment="1" applyProtection="1">
      <alignment horizontal="left"/>
      <protection locked="0"/>
    </xf>
    <xf numFmtId="0" fontId="138" fillId="7" borderId="4" xfId="0" applyFont="1" applyFill="1" applyBorder="1" applyAlignment="1" applyProtection="1">
      <alignment horizontal="left" vertical="center"/>
      <protection locked="0"/>
    </xf>
    <xf numFmtId="0" fontId="150" fillId="7" borderId="132" xfId="0" applyFont="1" applyFill="1" applyBorder="1" applyAlignment="1" applyProtection="1">
      <alignment horizontal="left" vertical="center" wrapText="1"/>
      <protection locked="0"/>
    </xf>
    <xf numFmtId="0" fontId="150" fillId="7" borderId="128" xfId="0" applyFont="1" applyFill="1" applyBorder="1" applyAlignment="1" applyProtection="1">
      <alignment horizontal="left" vertical="center" wrapText="1"/>
      <protection locked="0"/>
    </xf>
    <xf numFmtId="0" fontId="150" fillId="7" borderId="10" xfId="0" applyFont="1" applyFill="1" applyBorder="1" applyAlignment="1" applyProtection="1">
      <alignment horizontal="left" vertical="center" wrapText="1"/>
      <protection locked="0"/>
    </xf>
    <xf numFmtId="0" fontId="141" fillId="7" borderId="0" xfId="592" applyFont="1" applyFill="1" applyBorder="1" applyAlignment="1" applyProtection="1">
      <alignment vertical="center"/>
      <protection locked="0"/>
    </xf>
    <xf numFmtId="0" fontId="141" fillId="7" borderId="119" xfId="592" applyFont="1" applyFill="1" applyBorder="1" applyAlignment="1" applyProtection="1">
      <alignment vertical="center"/>
      <protection locked="0"/>
    </xf>
    <xf numFmtId="0" fontId="61" fillId="0" borderId="0" xfId="6" applyFont="1" applyAlignment="1" applyProtection="1">
      <alignment vertical="center"/>
      <protection locked="0"/>
    </xf>
    <xf numFmtId="0" fontId="13" fillId="7" borderId="1" xfId="0" applyFont="1" applyFill="1" applyBorder="1" applyAlignment="1" applyProtection="1">
      <alignment horizontal="left"/>
      <protection locked="0"/>
    </xf>
    <xf numFmtId="0" fontId="13" fillId="7" borderId="1" xfId="4" applyFont="1" applyFill="1" applyBorder="1" applyAlignment="1" applyProtection="1">
      <alignment horizontal="left"/>
      <protection locked="0"/>
    </xf>
    <xf numFmtId="0" fontId="158" fillId="7" borderId="2" xfId="0" applyFont="1" applyFill="1" applyBorder="1" applyAlignment="1" applyProtection="1">
      <alignment vertical="center"/>
      <protection locked="0"/>
    </xf>
    <xf numFmtId="0" fontId="138" fillId="7" borderId="4" xfId="0" applyFont="1" applyFill="1" applyBorder="1" applyAlignment="1" applyProtection="1">
      <alignment vertical="center"/>
      <protection locked="0"/>
    </xf>
    <xf numFmtId="0" fontId="158" fillId="7" borderId="2" xfId="0" applyFont="1" applyFill="1" applyBorder="1" applyAlignment="1" applyProtection="1">
      <alignment horizontal="left" vertical="center"/>
      <protection locked="0"/>
    </xf>
    <xf numFmtId="0" fontId="158" fillId="7" borderId="132" xfId="0" applyFont="1" applyFill="1" applyBorder="1" applyAlignment="1" applyProtection="1">
      <alignment vertical="center"/>
      <protection locked="0"/>
    </xf>
    <xf numFmtId="0" fontId="138" fillId="7" borderId="10" xfId="0" applyFont="1" applyFill="1" applyBorder="1" applyAlignment="1" applyProtection="1">
      <alignment vertical="center"/>
      <protection locked="0"/>
    </xf>
    <xf numFmtId="0" fontId="158" fillId="7" borderId="1" xfId="0" applyFont="1" applyFill="1" applyBorder="1" applyAlignment="1" applyProtection="1">
      <alignment vertical="center"/>
      <protection locked="0"/>
    </xf>
    <xf numFmtId="229" fontId="48" fillId="9" borderId="1" xfId="4" applyNumberFormat="1" applyFont="1" applyFill="1" applyBorder="1" applyAlignment="1" applyProtection="1">
      <alignment horizontal="right"/>
    </xf>
    <xf numFmtId="0" fontId="171" fillId="7" borderId="0" xfId="0" applyFont="1" applyFill="1" applyBorder="1" applyAlignment="1" applyProtection="1">
      <alignment horizontal="center" vertical="center" wrapText="1"/>
      <protection locked="0"/>
    </xf>
    <xf numFmtId="0" fontId="171" fillId="7" borderId="0" xfId="0" applyFont="1" applyFill="1" applyBorder="1" applyAlignment="1" applyProtection="1">
      <alignment horizontal="left" vertical="center"/>
      <protection locked="0"/>
    </xf>
    <xf numFmtId="0" fontId="172" fillId="7" borderId="0" xfId="0" applyFont="1" applyFill="1" applyBorder="1" applyProtection="1">
      <protection locked="0"/>
    </xf>
    <xf numFmtId="0" fontId="173" fillId="7" borderId="0" xfId="0" applyFont="1" applyFill="1" applyProtection="1">
      <protection locked="0"/>
    </xf>
    <xf numFmtId="0" fontId="138" fillId="0" borderId="1" xfId="0" applyFont="1" applyBorder="1" applyProtection="1">
      <protection locked="0"/>
    </xf>
    <xf numFmtId="0" fontId="150" fillId="0" borderId="1" xfId="0" applyFont="1" applyBorder="1" applyProtection="1">
      <protection locked="0"/>
    </xf>
    <xf numFmtId="0" fontId="158" fillId="7" borderId="0" xfId="0" applyFont="1" applyFill="1" applyAlignment="1" applyProtection="1">
      <alignment horizontal="center"/>
      <protection locked="0"/>
    </xf>
    <xf numFmtId="0" fontId="158" fillId="7" borderId="0" xfId="0" applyFont="1" applyFill="1" applyAlignment="1" applyProtection="1">
      <alignment horizontal="center" vertical="center"/>
      <protection locked="0"/>
    </xf>
    <xf numFmtId="0" fontId="158" fillId="7" borderId="0" xfId="0" applyFont="1" applyFill="1" applyAlignment="1" applyProtection="1">
      <alignment horizontal="right"/>
      <protection locked="0"/>
    </xf>
    <xf numFmtId="0" fontId="13" fillId="7" borderId="1" xfId="11" applyFont="1" applyFill="1" applyBorder="1" applyAlignment="1" applyProtection="1">
      <alignment horizontal="left" vertical="center"/>
    </xf>
    <xf numFmtId="0" fontId="50" fillId="7" borderId="0" xfId="0" applyFont="1" applyFill="1" applyBorder="1" applyAlignment="1" applyProtection="1">
      <alignment horizontal="center"/>
      <protection locked="0"/>
    </xf>
    <xf numFmtId="0" fontId="125" fillId="7" borderId="118" xfId="0" applyFont="1" applyFill="1" applyBorder="1" applyProtection="1">
      <protection locked="0"/>
    </xf>
    <xf numFmtId="0" fontId="158" fillId="9" borderId="1" xfId="0" applyFont="1" applyFill="1" applyBorder="1" applyAlignment="1" applyProtection="1">
      <alignment vertical="center"/>
      <protection locked="0"/>
    </xf>
    <xf numFmtId="0" fontId="138" fillId="7" borderId="0" xfId="0" applyFont="1" applyFill="1" applyAlignment="1" applyProtection="1">
      <alignment horizontal="center" vertical="center"/>
      <protection locked="0"/>
    </xf>
    <xf numFmtId="0" fontId="150" fillId="7" borderId="0" xfId="0" applyFont="1" applyFill="1" applyProtection="1">
      <protection locked="0"/>
    </xf>
    <xf numFmtId="2" fontId="158" fillId="7" borderId="1" xfId="0" applyNumberFormat="1" applyFont="1" applyFill="1" applyBorder="1" applyProtection="1">
      <protection locked="0"/>
    </xf>
    <xf numFmtId="2" fontId="158" fillId="9" borderId="1" xfId="0" applyNumberFormat="1" applyFont="1" applyFill="1" applyBorder="1" applyProtection="1">
      <protection locked="0"/>
    </xf>
    <xf numFmtId="2" fontId="158" fillId="9" borderId="5" xfId="0" applyNumberFormat="1" applyFont="1" applyFill="1" applyBorder="1" applyProtection="1">
      <protection locked="0"/>
    </xf>
    <xf numFmtId="1" fontId="109" fillId="7" borderId="0" xfId="1" applyNumberFormat="1" applyFont="1" applyFill="1" applyAlignment="1" applyProtection="1">
      <alignment vertical="top"/>
    </xf>
    <xf numFmtId="0" fontId="17" fillId="7" borderId="0" xfId="6" applyFont="1" applyFill="1" applyAlignment="1" applyProtection="1">
      <alignment horizontal="center" vertical="center" wrapText="1"/>
      <protection locked="0"/>
    </xf>
    <xf numFmtId="0" fontId="158" fillId="7" borderId="0" xfId="0" applyFont="1" applyFill="1" applyAlignment="1" applyProtection="1">
      <alignment horizontal="left"/>
      <protection locked="0"/>
    </xf>
    <xf numFmtId="0" fontId="53" fillId="27" borderId="103" xfId="0" applyFont="1" applyFill="1" applyBorder="1" applyAlignment="1" applyProtection="1">
      <alignment horizontal="left" vertical="center" wrapText="1" readingOrder="1"/>
      <protection locked="0"/>
    </xf>
    <xf numFmtId="0" fontId="53" fillId="27" borderId="104" xfId="0" applyFont="1" applyFill="1" applyBorder="1" applyAlignment="1" applyProtection="1">
      <alignment horizontal="left" vertical="center" wrapText="1" readingOrder="1"/>
      <protection locked="0"/>
    </xf>
    <xf numFmtId="0" fontId="53" fillId="27" borderId="108" xfId="0" applyFont="1" applyFill="1" applyBorder="1" applyAlignment="1" applyProtection="1">
      <alignment horizontal="left" vertical="center" wrapText="1" readingOrder="1"/>
      <protection locked="0"/>
    </xf>
    <xf numFmtId="0" fontId="53" fillId="28" borderId="108" xfId="0" applyFont="1" applyFill="1" applyBorder="1" applyAlignment="1" applyProtection="1">
      <alignment horizontal="left" vertical="center" wrapText="1" readingOrder="1"/>
      <protection locked="0"/>
    </xf>
    <xf numFmtId="1" fontId="58" fillId="27" borderId="109" xfId="0" applyNumberFormat="1" applyFont="1" applyFill="1" applyBorder="1" applyAlignment="1" applyProtection="1">
      <alignment horizontal="center" vertical="center" wrapText="1" readingOrder="1"/>
    </xf>
    <xf numFmtId="182" fontId="48" fillId="27" borderId="106" xfId="0" applyNumberFormat="1" applyFont="1" applyFill="1" applyBorder="1" applyAlignment="1" applyProtection="1">
      <alignment horizontal="center" vertical="center" wrapText="1" readingOrder="1"/>
    </xf>
    <xf numFmtId="0" fontId="157" fillId="7" borderId="0" xfId="0" applyFont="1" applyFill="1" applyAlignment="1" applyProtection="1">
      <alignment horizontal="right"/>
      <protection locked="0"/>
    </xf>
    <xf numFmtId="182" fontId="138" fillId="28" borderId="109" xfId="0" applyNumberFormat="1" applyFont="1" applyFill="1" applyBorder="1" applyAlignment="1" applyProtection="1">
      <alignment horizontal="center" vertical="center" wrapText="1" readingOrder="1"/>
    </xf>
    <xf numFmtId="9" fontId="53" fillId="27" borderId="109" xfId="230" applyNumberFormat="1" applyFont="1" applyFill="1" applyBorder="1" applyAlignment="1" applyProtection="1">
      <alignment horizontal="center" vertical="center" wrapText="1" readingOrder="1"/>
    </xf>
    <xf numFmtId="178" fontId="128" fillId="28" borderId="109" xfId="230" applyNumberFormat="1" applyFont="1" applyFill="1" applyBorder="1" applyAlignment="1" applyProtection="1">
      <alignment horizontal="center" vertical="center" wrapText="1" readingOrder="1"/>
    </xf>
    <xf numFmtId="0" fontId="48" fillId="28" borderId="109" xfId="0" applyFont="1" applyFill="1" applyBorder="1" applyAlignment="1" applyProtection="1">
      <alignment horizontal="center" vertical="center" wrapText="1" readingOrder="1"/>
    </xf>
    <xf numFmtId="0" fontId="139" fillId="28" borderId="109" xfId="0" applyFont="1" applyFill="1" applyBorder="1" applyAlignment="1" applyProtection="1">
      <alignment horizontal="center" vertical="center" wrapText="1" readingOrder="1"/>
    </xf>
    <xf numFmtId="1" fontId="139" fillId="28" borderId="109" xfId="0" applyNumberFormat="1" applyFont="1" applyFill="1" applyBorder="1" applyAlignment="1" applyProtection="1">
      <alignment horizontal="center" vertical="center" wrapText="1" readingOrder="1"/>
    </xf>
    <xf numFmtId="179" fontId="128" fillId="28" borderId="109" xfId="0" applyNumberFormat="1" applyFont="1" applyFill="1" applyBorder="1" applyAlignment="1" applyProtection="1">
      <alignment horizontal="center" vertical="center" wrapText="1" readingOrder="1"/>
    </xf>
    <xf numFmtId="1" fontId="48" fillId="28" borderId="109" xfId="0" applyNumberFormat="1" applyFont="1" applyFill="1" applyBorder="1" applyAlignment="1" applyProtection="1">
      <alignment horizontal="center" vertical="center" wrapText="1" readingOrder="1"/>
    </xf>
    <xf numFmtId="182" fontId="48" fillId="28" borderId="106" xfId="0" applyNumberFormat="1" applyFont="1" applyFill="1" applyBorder="1" applyAlignment="1" applyProtection="1">
      <alignment horizontal="center" vertical="center" wrapText="1" readingOrder="1"/>
    </xf>
    <xf numFmtId="0" fontId="175" fillId="26" borderId="102" xfId="0" applyFont="1" applyFill="1" applyBorder="1" applyAlignment="1" applyProtection="1">
      <alignment horizontal="center" vertical="center" wrapText="1" readingOrder="1"/>
      <protection locked="0"/>
    </xf>
    <xf numFmtId="0" fontId="50" fillId="7" borderId="1" xfId="0" applyFont="1" applyFill="1" applyBorder="1" applyAlignment="1">
      <alignment horizontal="left" vertical="center" wrapText="1"/>
    </xf>
    <xf numFmtId="0" fontId="50" fillId="7" borderId="0" xfId="0" applyFont="1" applyFill="1" applyAlignment="1">
      <alignment vertical="center"/>
    </xf>
    <xf numFmtId="0" fontId="157" fillId="7" borderId="0" xfId="0" applyFont="1" applyFill="1" applyBorder="1" applyAlignment="1" applyProtection="1">
      <alignment horizontal="right"/>
      <protection locked="0"/>
    </xf>
    <xf numFmtId="0" fontId="158" fillId="7" borderId="0" xfId="0" applyFont="1" applyFill="1" applyBorder="1" applyAlignment="1" applyProtection="1">
      <alignment horizontal="left" vertical="center"/>
      <protection locked="0"/>
    </xf>
    <xf numFmtId="0" fontId="158" fillId="7" borderId="0" xfId="0" applyFont="1" applyFill="1" applyBorder="1" applyAlignment="1" applyProtection="1">
      <protection locked="0"/>
    </xf>
    <xf numFmtId="0" fontId="158" fillId="7" borderId="0" xfId="0" applyFont="1" applyFill="1" applyBorder="1" applyAlignment="1" applyProtection="1">
      <alignment vertical="top"/>
      <protection locked="0"/>
    </xf>
    <xf numFmtId="0" fontId="176" fillId="7" borderId="0" xfId="0" applyFont="1" applyFill="1" applyAlignment="1" applyProtection="1">
      <alignment horizontal="center"/>
      <protection locked="0"/>
    </xf>
    <xf numFmtId="0" fontId="176" fillId="7" borderId="0" xfId="0" applyFont="1" applyFill="1" applyProtection="1">
      <protection locked="0"/>
    </xf>
    <xf numFmtId="0" fontId="177" fillId="7" borderId="0" xfId="0" applyFont="1" applyFill="1" applyBorder="1" applyAlignment="1" applyProtection="1">
      <protection locked="0"/>
    </xf>
    <xf numFmtId="182" fontId="158" fillId="7" borderId="0" xfId="0" applyNumberFormat="1" applyFont="1" applyFill="1" applyAlignment="1" applyProtection="1">
      <alignment horizontal="right"/>
      <protection locked="0"/>
    </xf>
    <xf numFmtId="0" fontId="66" fillId="7" borderId="1" xfId="0" applyFont="1" applyFill="1" applyBorder="1" applyAlignment="1">
      <alignment horizontal="left" wrapText="1"/>
    </xf>
    <xf numFmtId="0" fontId="157" fillId="7" borderId="0" xfId="0" applyFont="1" applyFill="1" applyAlignment="1" applyProtection="1">
      <alignment horizontal="center" vertical="top"/>
      <protection locked="0"/>
    </xf>
    <xf numFmtId="0" fontId="56" fillId="7" borderId="1" xfId="0" applyFont="1" applyFill="1" applyBorder="1" applyProtection="1">
      <protection locked="0"/>
    </xf>
    <xf numFmtId="0" fontId="50" fillId="8" borderId="1" xfId="0" applyFont="1" applyFill="1" applyBorder="1" applyProtection="1">
      <protection locked="0"/>
    </xf>
    <xf numFmtId="0" fontId="51" fillId="7" borderId="0" xfId="0" applyFont="1" applyFill="1" applyProtection="1">
      <protection locked="0"/>
    </xf>
    <xf numFmtId="0" fontId="66" fillId="7" borderId="0" xfId="0" applyFont="1" applyFill="1" applyBorder="1" applyAlignment="1" applyProtection="1">
      <alignment horizontal="right" vertical="center"/>
    </xf>
    <xf numFmtId="0" fontId="157" fillId="9" borderId="1" xfId="0" applyFont="1" applyFill="1" applyBorder="1" applyAlignment="1" applyProtection="1">
      <alignment vertical="center"/>
      <protection locked="0"/>
    </xf>
    <xf numFmtId="0" fontId="157" fillId="9" borderId="1" xfId="0" applyFont="1" applyFill="1" applyBorder="1" applyAlignment="1" applyProtection="1">
      <alignment horizontal="center" vertical="center"/>
      <protection locked="0"/>
    </xf>
    <xf numFmtId="0" fontId="168" fillId="7" borderId="1" xfId="0" applyFont="1" applyFill="1" applyBorder="1" applyAlignment="1" applyProtection="1">
      <alignment horizontal="center" vertical="center" wrapText="1"/>
      <protection locked="0"/>
    </xf>
    <xf numFmtId="180" fontId="47" fillId="8" borderId="1" xfId="6" applyNumberFormat="1" applyFont="1" applyFill="1" applyBorder="1" applyAlignment="1" applyProtection="1">
      <alignment horizontal="center" vertical="center" wrapText="1"/>
      <protection locked="0"/>
    </xf>
    <xf numFmtId="181" fontId="48" fillId="9" borderId="1" xfId="6" applyNumberFormat="1" applyFont="1" applyFill="1" applyBorder="1" applyAlignment="1" applyProtection="1">
      <alignment horizontal="center" vertical="center"/>
      <protection locked="0"/>
    </xf>
    <xf numFmtId="0" fontId="17" fillId="7" borderId="128" xfId="6" applyFont="1" applyFill="1" applyBorder="1" applyAlignment="1" applyProtection="1">
      <alignment horizontal="center" vertical="center"/>
      <protection locked="0"/>
    </xf>
    <xf numFmtId="0" fontId="47" fillId="7" borderId="128" xfId="6" applyFont="1" applyFill="1" applyBorder="1" applyAlignment="1" applyProtection="1">
      <alignment horizontal="center" vertical="center"/>
      <protection locked="0"/>
    </xf>
    <xf numFmtId="49" fontId="47" fillId="7" borderId="0" xfId="6" applyNumberFormat="1" applyFont="1" applyFill="1" applyBorder="1" applyAlignment="1" applyProtection="1">
      <alignment horizontal="left" vertical="top"/>
      <protection locked="0"/>
    </xf>
    <xf numFmtId="0" fontId="168" fillId="7" borderId="1" xfId="0" applyFont="1" applyFill="1" applyBorder="1" applyProtection="1">
      <protection locked="0"/>
    </xf>
    <xf numFmtId="0" fontId="56" fillId="8" borderId="1" xfId="0" applyFont="1" applyFill="1" applyBorder="1" applyAlignment="1" applyProtection="1">
      <alignment horizontal="center" wrapText="1"/>
      <protection locked="0"/>
    </xf>
    <xf numFmtId="0" fontId="56" fillId="7" borderId="1" xfId="0" applyFont="1" applyFill="1" applyBorder="1" applyAlignment="1" applyProtection="1">
      <alignment horizontal="center" vertical="center" wrapText="1"/>
      <protection locked="0"/>
    </xf>
    <xf numFmtId="0" fontId="150" fillId="7" borderId="0" xfId="0" applyFont="1" applyFill="1" applyBorder="1" applyAlignment="1" applyProtection="1">
      <alignment horizontal="left" vertical="top"/>
      <protection locked="0"/>
    </xf>
    <xf numFmtId="182" fontId="47" fillId="7" borderId="1" xfId="230" applyNumberFormat="1" applyFont="1" applyFill="1" applyBorder="1" applyAlignment="1" applyProtection="1">
      <alignment horizontal="center" vertical="center"/>
    </xf>
    <xf numFmtId="1" fontId="47" fillId="7" borderId="1" xfId="6" applyNumberFormat="1" applyFont="1" applyFill="1" applyBorder="1" applyAlignment="1" applyProtection="1">
      <alignment horizontal="center" vertical="center"/>
    </xf>
    <xf numFmtId="178" fontId="47" fillId="7" borderId="1" xfId="6" applyNumberFormat="1" applyFont="1" applyFill="1" applyBorder="1" applyAlignment="1" applyProtection="1">
      <alignment horizontal="center" vertical="center"/>
    </xf>
    <xf numFmtId="9" fontId="47" fillId="7" borderId="2" xfId="230" applyFont="1" applyFill="1" applyBorder="1" applyAlignment="1" applyProtection="1">
      <alignment horizontal="center" vertical="center"/>
    </xf>
    <xf numFmtId="9" fontId="47" fillId="7" borderId="1" xfId="5" applyNumberFormat="1" applyFont="1" applyFill="1" applyBorder="1" applyAlignment="1" applyProtection="1">
      <alignment horizontal="center" vertical="center"/>
    </xf>
    <xf numFmtId="10" fontId="47" fillId="7" borderId="1" xfId="5" applyNumberFormat="1" applyFont="1" applyFill="1" applyBorder="1" applyAlignment="1" applyProtection="1">
      <alignment horizontal="center" vertical="center"/>
    </xf>
    <xf numFmtId="0" fontId="47" fillId="7" borderId="1" xfId="6" applyFont="1" applyFill="1" applyBorder="1" applyAlignment="1" applyProtection="1">
      <alignment horizontal="center" vertical="center"/>
    </xf>
    <xf numFmtId="180" fontId="158" fillId="7" borderId="1" xfId="0" applyNumberFormat="1" applyFont="1" applyFill="1" applyBorder="1" applyAlignment="1" applyProtection="1">
      <alignment horizontal="center" vertical="center"/>
    </xf>
    <xf numFmtId="176" fontId="158" fillId="7" borderId="1" xfId="0" applyNumberFormat="1" applyFont="1" applyFill="1" applyBorder="1" applyAlignment="1" applyProtection="1">
      <alignment horizontal="center" vertical="center"/>
    </xf>
    <xf numFmtId="179" fontId="158" fillId="7" borderId="1" xfId="0" applyNumberFormat="1" applyFont="1" applyFill="1" applyBorder="1" applyAlignment="1" applyProtection="1">
      <alignment horizontal="center" vertical="center"/>
    </xf>
    <xf numFmtId="2" fontId="158" fillId="7" borderId="1" xfId="0" applyNumberFormat="1" applyFont="1" applyFill="1" applyBorder="1" applyAlignment="1" applyProtection="1">
      <alignment horizontal="center" vertical="center"/>
    </xf>
    <xf numFmtId="178" fontId="47" fillId="0" borderId="1" xfId="230" applyNumberFormat="1" applyFont="1" applyBorder="1" applyAlignment="1" applyProtection="1">
      <alignment horizontal="center" vertical="center"/>
    </xf>
    <xf numFmtId="227" fontId="138" fillId="7" borderId="1" xfId="0" applyNumberFormat="1" applyFont="1" applyFill="1" applyBorder="1" applyAlignment="1" applyProtection="1">
      <alignment horizontal="center" vertical="center"/>
    </xf>
    <xf numFmtId="0" fontId="158" fillId="7" borderId="1" xfId="0" applyFont="1" applyFill="1" applyBorder="1" applyAlignment="1" applyProtection="1">
      <alignment horizontal="center" vertical="center"/>
    </xf>
    <xf numFmtId="1" fontId="158" fillId="7" borderId="1" xfId="0" applyNumberFormat="1" applyFont="1" applyFill="1" applyBorder="1" applyAlignment="1" applyProtection="1">
      <alignment horizontal="center" vertical="center"/>
    </xf>
    <xf numFmtId="2" fontId="158" fillId="7" borderId="0" xfId="0" applyNumberFormat="1" applyFont="1" applyFill="1" applyBorder="1" applyAlignment="1" applyProtection="1">
      <alignment horizontal="left"/>
    </xf>
    <xf numFmtId="180" fontId="47" fillId="7" borderId="1" xfId="6" applyNumberFormat="1" applyFont="1" applyFill="1" applyBorder="1" applyAlignment="1" applyProtection="1">
      <alignment horizontal="center"/>
    </xf>
    <xf numFmtId="0" fontId="158" fillId="7" borderId="0" xfId="0" applyFont="1" applyFill="1" applyBorder="1" applyAlignment="1" applyProtection="1"/>
    <xf numFmtId="0" fontId="56" fillId="7" borderId="0" xfId="0" applyFont="1" applyFill="1" applyBorder="1" applyAlignment="1" applyProtection="1">
      <alignment horizontal="center"/>
    </xf>
    <xf numFmtId="0" fontId="56" fillId="7" borderId="0" xfId="0" applyFont="1" applyFill="1" applyBorder="1" applyAlignment="1" applyProtection="1">
      <alignment horizontal="left" vertical="center"/>
    </xf>
    <xf numFmtId="0" fontId="50" fillId="7" borderId="0" xfId="0" applyFont="1" applyFill="1" applyAlignment="1" applyProtection="1">
      <alignment horizontal="center"/>
    </xf>
    <xf numFmtId="0" fontId="50" fillId="7" borderId="0" xfId="0" applyFont="1" applyFill="1" applyAlignment="1" applyProtection="1">
      <alignment horizontal="left" vertical="top"/>
    </xf>
    <xf numFmtId="182" fontId="158" fillId="7" borderId="0" xfId="0" applyNumberFormat="1" applyFont="1" applyFill="1" applyAlignment="1" applyProtection="1">
      <alignment horizontal="left"/>
    </xf>
    <xf numFmtId="0" fontId="50" fillId="7" borderId="1" xfId="0" applyFont="1" applyFill="1" applyBorder="1" applyAlignment="1" applyProtection="1">
      <alignment horizontal="center" vertical="center"/>
    </xf>
    <xf numFmtId="0" fontId="56" fillId="7" borderId="1" xfId="0" applyFont="1" applyFill="1" applyBorder="1" applyAlignment="1" applyProtection="1">
      <alignment horizontal="center" vertical="center"/>
    </xf>
    <xf numFmtId="0" fontId="56" fillId="7" borderId="1" xfId="0" applyFont="1" applyFill="1" applyBorder="1" applyAlignment="1" applyProtection="1">
      <alignment horizontal="center"/>
    </xf>
    <xf numFmtId="2" fontId="56" fillId="7" borderId="1" xfId="0" applyNumberFormat="1" applyFont="1" applyFill="1" applyBorder="1" applyAlignment="1" applyProtection="1">
      <alignment horizontal="center"/>
    </xf>
    <xf numFmtId="2" fontId="56" fillId="7" borderId="1" xfId="0" applyNumberFormat="1" applyFont="1" applyFill="1" applyBorder="1" applyAlignment="1" applyProtection="1">
      <alignment horizontal="center" vertical="center"/>
    </xf>
    <xf numFmtId="182" fontId="50" fillId="7" borderId="0" xfId="0" applyNumberFormat="1" applyFont="1" applyFill="1" applyProtection="1"/>
    <xf numFmtId="232" fontId="50" fillId="7" borderId="0" xfId="0" applyNumberFormat="1" applyFont="1" applyFill="1" applyAlignment="1" applyProtection="1">
      <alignment horizontal="left"/>
    </xf>
    <xf numFmtId="2" fontId="158" fillId="7" borderId="0" xfId="0" applyNumberFormat="1" applyFont="1" applyFill="1" applyAlignment="1" applyProtection="1">
      <alignment horizontal="left"/>
    </xf>
    <xf numFmtId="2" fontId="158" fillId="7" borderId="1" xfId="0" applyNumberFormat="1" applyFont="1" applyFill="1" applyBorder="1" applyProtection="1"/>
    <xf numFmtId="179" fontId="158" fillId="7" borderId="26" xfId="0" applyNumberFormat="1" applyFont="1" applyFill="1" applyBorder="1" applyProtection="1"/>
    <xf numFmtId="178" fontId="48" fillId="7" borderId="1" xfId="5" applyNumberFormat="1" applyFont="1" applyFill="1" applyBorder="1" applyAlignment="1" applyProtection="1">
      <alignment horizontal="left"/>
    </xf>
    <xf numFmtId="176" fontId="148" fillId="7" borderId="1" xfId="0" applyNumberFormat="1" applyFont="1" applyFill="1" applyBorder="1" applyAlignment="1" applyProtection="1">
      <alignment horizontal="center"/>
    </xf>
    <xf numFmtId="2" fontId="148" fillId="7" borderId="1" xfId="0" applyNumberFormat="1" applyFont="1" applyFill="1" applyBorder="1" applyAlignment="1" applyProtection="1">
      <alignment horizontal="center"/>
    </xf>
    <xf numFmtId="182" fontId="48" fillId="7" borderId="1" xfId="0" applyNumberFormat="1" applyFont="1" applyFill="1" applyBorder="1" applyAlignment="1" applyProtection="1">
      <alignment horizontal="center"/>
    </xf>
    <xf numFmtId="2" fontId="48" fillId="7" borderId="1" xfId="0" applyNumberFormat="1" applyFont="1" applyFill="1" applyBorder="1" applyAlignment="1" applyProtection="1">
      <alignment horizontal="center"/>
    </xf>
    <xf numFmtId="227" fontId="48" fillId="7" borderId="1" xfId="0" applyNumberFormat="1" applyFont="1" applyFill="1" applyBorder="1" applyAlignment="1" applyProtection="1">
      <alignment horizontal="center"/>
    </xf>
    <xf numFmtId="0" fontId="48" fillId="7" borderId="1" xfId="0" applyFont="1" applyFill="1" applyBorder="1" applyAlignment="1" applyProtection="1">
      <alignment horizontal="left"/>
    </xf>
    <xf numFmtId="179" fontId="138" fillId="7" borderId="1" xfId="0" applyNumberFormat="1" applyFont="1" applyFill="1" applyBorder="1" applyAlignment="1" applyProtection="1">
      <alignment horizontal="center" vertical="center"/>
    </xf>
    <xf numFmtId="182" fontId="138" fillId="7" borderId="1" xfId="0" applyNumberFormat="1" applyFont="1" applyFill="1" applyBorder="1" applyAlignment="1" applyProtection="1">
      <alignment horizontal="center" vertical="center"/>
    </xf>
    <xf numFmtId="0" fontId="138" fillId="7" borderId="1" xfId="0" applyFont="1" applyFill="1" applyBorder="1" applyAlignment="1" applyProtection="1">
      <alignment horizontal="center"/>
    </xf>
    <xf numFmtId="182" fontId="138" fillId="7" borderId="1" xfId="0" applyNumberFormat="1" applyFont="1" applyFill="1" applyBorder="1" applyAlignment="1" applyProtection="1">
      <alignment horizontal="center"/>
    </xf>
    <xf numFmtId="0" fontId="126" fillId="7" borderId="118" xfId="593" applyFont="1" applyFill="1" applyBorder="1" applyProtection="1">
      <alignment vertical="center"/>
      <protection locked="0"/>
    </xf>
    <xf numFmtId="0" fontId="138" fillId="7" borderId="118" xfId="593" applyFont="1" applyFill="1" applyBorder="1" applyProtection="1">
      <alignment vertical="center"/>
      <protection locked="0"/>
    </xf>
    <xf numFmtId="0" fontId="150" fillId="7" borderId="118" xfId="593" applyFont="1" applyFill="1" applyBorder="1" applyAlignment="1" applyProtection="1">
      <alignment horizontal="left"/>
      <protection locked="0"/>
    </xf>
    <xf numFmtId="0" fontId="138" fillId="7" borderId="0" xfId="593" applyFont="1" applyFill="1" applyProtection="1">
      <alignment vertical="center"/>
      <protection locked="0"/>
    </xf>
    <xf numFmtId="0" fontId="134" fillId="7" borderId="0" xfId="593" applyFont="1" applyFill="1" applyAlignment="1" applyProtection="1">
      <alignment vertical="center"/>
      <protection locked="0"/>
    </xf>
    <xf numFmtId="0" fontId="48" fillId="7" borderId="0" xfId="593" applyFont="1" applyFill="1" applyAlignment="1" applyProtection="1">
      <alignment horizontal="center" vertical="center"/>
      <protection locked="0"/>
    </xf>
    <xf numFmtId="0" fontId="48" fillId="7" borderId="0" xfId="593" applyFont="1" applyFill="1" applyAlignment="1" applyProtection="1">
      <alignment vertical="center"/>
      <protection locked="0"/>
    </xf>
    <xf numFmtId="0" fontId="48" fillId="8" borderId="5" xfId="593" applyFont="1" applyFill="1" applyBorder="1" applyAlignment="1" applyProtection="1">
      <alignment horizontal="center" vertical="center" wrapText="1"/>
      <protection locked="0"/>
    </xf>
    <xf numFmtId="0" fontId="138" fillId="8" borderId="1" xfId="593" applyFont="1" applyFill="1" applyBorder="1" applyAlignment="1" applyProtection="1">
      <alignment horizontal="center" vertical="center" wrapText="1"/>
      <protection locked="0"/>
    </xf>
    <xf numFmtId="0" fontId="138" fillId="8" borderId="5" xfId="593" applyFont="1" applyFill="1" applyBorder="1" applyAlignment="1" applyProtection="1">
      <alignment horizontal="center" vertical="center" wrapText="1"/>
      <protection locked="0"/>
    </xf>
    <xf numFmtId="0" fontId="48" fillId="7" borderId="1" xfId="593" applyNumberFormat="1" applyFont="1" applyFill="1" applyBorder="1" applyAlignment="1" applyProtection="1">
      <alignment horizontal="center" vertical="center"/>
      <protection locked="0"/>
    </xf>
    <xf numFmtId="0" fontId="48" fillId="9" borderId="1" xfId="593" applyNumberFormat="1" applyFont="1" applyFill="1" applyBorder="1" applyAlignment="1" applyProtection="1">
      <alignment horizontal="center" vertical="center"/>
      <protection locked="0"/>
    </xf>
    <xf numFmtId="0" fontId="48" fillId="9" borderId="1" xfId="0" applyNumberFormat="1" applyFont="1" applyFill="1" applyBorder="1" applyAlignment="1" applyProtection="1">
      <alignment horizontal="center" vertical="center"/>
      <protection locked="0"/>
    </xf>
    <xf numFmtId="10" fontId="48" fillId="9" borderId="1" xfId="230" applyNumberFormat="1" applyFont="1" applyFill="1" applyBorder="1" applyAlignment="1" applyProtection="1">
      <alignment horizontal="center" vertical="center"/>
      <protection locked="0"/>
    </xf>
    <xf numFmtId="0" fontId="13" fillId="9" borderId="1" xfId="593" applyNumberFormat="1" applyFont="1" applyFill="1" applyBorder="1" applyAlignment="1" applyProtection="1">
      <alignment horizontal="center" vertical="center"/>
      <protection locked="0"/>
    </xf>
    <xf numFmtId="0" fontId="138" fillId="7" borderId="15" xfId="593" applyFont="1" applyFill="1" applyBorder="1" applyProtection="1">
      <alignment vertical="center"/>
      <protection locked="0"/>
    </xf>
    <xf numFmtId="0" fontId="126" fillId="7" borderId="15" xfId="593" applyFont="1" applyFill="1" applyBorder="1" applyProtection="1">
      <alignment vertical="center"/>
      <protection locked="0"/>
    </xf>
    <xf numFmtId="0" fontId="138" fillId="8" borderId="5" xfId="0" applyFont="1" applyFill="1" applyBorder="1" applyAlignment="1" applyProtection="1">
      <alignment horizontal="center" vertical="center" wrapText="1"/>
      <protection locked="0"/>
    </xf>
    <xf numFmtId="0" fontId="48" fillId="0" borderId="1" xfId="0" applyNumberFormat="1" applyFont="1" applyFill="1" applyBorder="1" applyAlignment="1" applyProtection="1">
      <alignment horizontal="center" vertical="center"/>
      <protection locked="0"/>
    </xf>
    <xf numFmtId="0" fontId="126" fillId="7" borderId="0" xfId="593" applyFont="1" applyFill="1" applyBorder="1" applyProtection="1">
      <alignment vertical="center"/>
      <protection locked="0"/>
    </xf>
    <xf numFmtId="0" fontId="141" fillId="7" borderId="119" xfId="592" applyFill="1" applyBorder="1" applyAlignment="1" applyProtection="1">
      <alignment vertical="center"/>
      <protection locked="0"/>
    </xf>
    <xf numFmtId="0" fontId="138" fillId="7" borderId="0" xfId="593" applyFont="1" applyFill="1" applyBorder="1" applyProtection="1">
      <alignment vertical="center"/>
      <protection locked="0"/>
    </xf>
    <xf numFmtId="0" fontId="48" fillId="8" borderId="1" xfId="0" applyFont="1" applyFill="1" applyBorder="1" applyAlignment="1" applyProtection="1">
      <alignment horizontal="center" vertical="center" wrapText="1"/>
      <protection locked="0"/>
    </xf>
    <xf numFmtId="0" fontId="48" fillId="8" borderId="2" xfId="0" applyFont="1" applyFill="1" applyBorder="1" applyAlignment="1" applyProtection="1">
      <alignment horizontal="center" vertical="center" wrapText="1"/>
      <protection locked="0"/>
    </xf>
    <xf numFmtId="0" fontId="138" fillId="8" borderId="1" xfId="593" applyFont="1" applyFill="1" applyBorder="1" applyProtection="1">
      <alignment vertical="center"/>
      <protection locked="0"/>
    </xf>
    <xf numFmtId="0" fontId="47" fillId="8" borderId="1" xfId="0" applyFont="1" applyFill="1" applyBorder="1" applyAlignment="1" applyProtection="1">
      <alignment horizontal="center" vertical="center"/>
      <protection locked="0"/>
    </xf>
    <xf numFmtId="0" fontId="48" fillId="8" borderId="1" xfId="0" applyFont="1" applyFill="1" applyBorder="1" applyAlignment="1" applyProtection="1">
      <alignment horizontal="center" vertical="center"/>
      <protection locked="0"/>
    </xf>
    <xf numFmtId="0" fontId="47" fillId="8" borderId="1" xfId="0" applyFont="1" applyFill="1" applyBorder="1" applyAlignment="1" applyProtection="1">
      <alignment horizontal="center" vertical="center" wrapText="1"/>
      <protection locked="0"/>
    </xf>
    <xf numFmtId="0" fontId="48" fillId="9" borderId="1" xfId="0" applyFont="1" applyFill="1" applyBorder="1" applyAlignment="1" applyProtection="1">
      <alignment horizontal="center"/>
      <protection locked="0"/>
    </xf>
    <xf numFmtId="0" fontId="48" fillId="9" borderId="1" xfId="0" applyFont="1" applyFill="1" applyBorder="1" applyAlignment="1" applyProtection="1">
      <alignment horizontal="left"/>
      <protection locked="0"/>
    </xf>
    <xf numFmtId="0" fontId="138" fillId="9" borderId="1" xfId="593" applyFont="1" applyFill="1" applyBorder="1" applyAlignment="1" applyProtection="1">
      <alignment horizontal="center" vertical="center"/>
      <protection locked="0"/>
    </xf>
    <xf numFmtId="9" fontId="48" fillId="9" borderId="1" xfId="230" applyFont="1" applyFill="1" applyBorder="1" applyAlignment="1" applyProtection="1">
      <alignment horizontal="center" vertical="center"/>
      <protection locked="0"/>
    </xf>
    <xf numFmtId="9" fontId="48" fillId="9" borderId="1" xfId="0" applyNumberFormat="1" applyFont="1" applyFill="1" applyBorder="1" applyAlignment="1" applyProtection="1">
      <alignment horizontal="center" vertical="center"/>
      <protection locked="0"/>
    </xf>
    <xf numFmtId="2" fontId="138" fillId="9" borderId="1" xfId="593" applyNumberFormat="1" applyFont="1" applyFill="1" applyBorder="1" applyAlignment="1" applyProtection="1">
      <alignment horizontal="center" vertical="center"/>
      <protection locked="0"/>
    </xf>
    <xf numFmtId="0" fontId="48" fillId="9" borderId="1" xfId="0" applyFont="1" applyFill="1" applyBorder="1" applyAlignment="1" applyProtection="1">
      <alignment horizontal="center" vertical="center"/>
      <protection locked="0"/>
    </xf>
    <xf numFmtId="0" fontId="138" fillId="9" borderId="1" xfId="593" applyFont="1" applyFill="1" applyBorder="1" applyProtection="1">
      <alignment vertical="center"/>
      <protection locked="0"/>
    </xf>
    <xf numFmtId="0" fontId="48" fillId="9" borderId="1" xfId="0" applyFont="1" applyFill="1" applyBorder="1" applyAlignment="1" applyProtection="1">
      <protection locked="0"/>
    </xf>
    <xf numFmtId="0" fontId="138" fillId="8" borderId="1" xfId="593" applyFont="1" applyFill="1" applyBorder="1" applyAlignment="1" applyProtection="1">
      <alignment horizontal="center" vertical="center"/>
      <protection locked="0"/>
    </xf>
    <xf numFmtId="0" fontId="125" fillId="7" borderId="118" xfId="593" applyFont="1" applyFill="1" applyBorder="1" applyProtection="1">
      <alignment vertical="center"/>
      <protection locked="0"/>
    </xf>
    <xf numFmtId="0" fontId="13" fillId="7" borderId="0" xfId="593" applyFont="1" applyFill="1" applyAlignment="1" applyProtection="1">
      <alignment vertical="center"/>
      <protection locked="0"/>
    </xf>
    <xf numFmtId="179" fontId="138" fillId="9" borderId="1" xfId="593" applyNumberFormat="1" applyFont="1" applyFill="1" applyBorder="1" applyAlignment="1" applyProtection="1">
      <alignment horizontal="center" vertical="center"/>
      <protection locked="0"/>
    </xf>
    <xf numFmtId="0" fontId="54" fillId="0" borderId="11" xfId="1" applyFont="1" applyBorder="1" applyAlignment="1" applyProtection="1">
      <alignment horizontal="left" vertical="center"/>
    </xf>
    <xf numFmtId="0" fontId="47" fillId="0" borderId="1" xfId="6" applyFont="1" applyFill="1" applyBorder="1" applyAlignment="1" applyProtection="1">
      <alignment horizontal="center" vertical="center" wrapText="1"/>
      <protection locked="0"/>
    </xf>
    <xf numFmtId="0" fontId="109" fillId="0" borderId="0" xfId="1" applyFont="1" applyAlignment="1" applyProtection="1">
      <alignment vertical="center"/>
      <protection locked="0"/>
    </xf>
    <xf numFmtId="0" fontId="109" fillId="7" borderId="118" xfId="1" applyFont="1" applyFill="1" applyBorder="1" applyAlignment="1" applyProtection="1">
      <alignment horizontal="center" vertical="center"/>
      <protection locked="0"/>
    </xf>
    <xf numFmtId="0" fontId="109" fillId="0" borderId="118" xfId="1" applyFont="1" applyBorder="1" applyAlignment="1" applyProtection="1">
      <alignment vertical="center"/>
      <protection locked="0"/>
    </xf>
    <xf numFmtId="0" fontId="141" fillId="7" borderId="0" xfId="592" applyFill="1" applyAlignment="1" applyProtection="1">
      <alignment vertical="center"/>
      <protection locked="0"/>
    </xf>
    <xf numFmtId="0" fontId="109" fillId="7" borderId="0" xfId="1" applyFont="1" applyFill="1" applyAlignment="1" applyProtection="1">
      <alignment horizontal="center" vertical="center"/>
    </xf>
    <xf numFmtId="0" fontId="58" fillId="0" borderId="0" xfId="1" applyFont="1" applyAlignment="1" applyProtection="1">
      <alignment horizontal="left" vertical="center"/>
      <protection locked="0"/>
    </xf>
    <xf numFmtId="0" fontId="116" fillId="0" borderId="0" xfId="1" applyFont="1" applyAlignment="1" applyProtection="1">
      <alignment vertical="center"/>
      <protection locked="0"/>
    </xf>
    <xf numFmtId="0" fontId="116" fillId="0" borderId="0" xfId="1" applyFont="1" applyBorder="1" applyAlignment="1" applyProtection="1">
      <alignment vertical="center"/>
      <protection locked="0"/>
    </xf>
    <xf numFmtId="176" fontId="47" fillId="0" borderId="0" xfId="1" applyNumberFormat="1" applyFont="1" applyAlignment="1" applyProtection="1">
      <alignment horizontal="center" vertical="center"/>
      <protection locked="0"/>
    </xf>
    <xf numFmtId="0" fontId="48" fillId="8" borderId="1" xfId="1" applyFont="1" applyFill="1" applyBorder="1" applyAlignment="1" applyProtection="1">
      <alignment vertical="center"/>
      <protection locked="0"/>
    </xf>
    <xf numFmtId="0" fontId="47" fillId="0" borderId="0" xfId="1" applyFont="1" applyAlignment="1" applyProtection="1">
      <alignment vertical="center"/>
      <protection locked="0"/>
    </xf>
    <xf numFmtId="0" fontId="48" fillId="0" borderId="0" xfId="1" applyFont="1" applyAlignment="1" applyProtection="1">
      <alignment horizontal="center" vertical="center"/>
    </xf>
    <xf numFmtId="0" fontId="54" fillId="0" borderId="1" xfId="1" applyFont="1" applyBorder="1" applyAlignment="1" applyProtection="1">
      <alignment vertical="center"/>
      <protection locked="0"/>
    </xf>
    <xf numFmtId="2" fontId="48" fillId="0" borderId="0" xfId="1" applyNumberFormat="1" applyFont="1" applyAlignment="1" applyProtection="1">
      <alignment horizontal="center" vertical="center"/>
    </xf>
    <xf numFmtId="0" fontId="178" fillId="0" borderId="0" xfId="0" applyFont="1" applyAlignment="1">
      <alignment vertical="center"/>
    </xf>
    <xf numFmtId="0" fontId="13" fillId="0" borderId="0" xfId="1" applyFont="1" applyAlignment="1" applyProtection="1">
      <alignment vertical="center"/>
      <protection locked="0"/>
    </xf>
    <xf numFmtId="182" fontId="48" fillId="0" borderId="0" xfId="1" applyNumberFormat="1" applyFont="1" applyAlignment="1" applyProtection="1">
      <alignment horizontal="center" vertical="center"/>
    </xf>
    <xf numFmtId="0" fontId="54" fillId="0" borderId="4" xfId="1" applyFont="1" applyBorder="1" applyAlignment="1" applyProtection="1">
      <alignment vertical="center"/>
      <protection locked="0"/>
    </xf>
    <xf numFmtId="0" fontId="117" fillId="0" borderId="0" xfId="1" applyFont="1" applyAlignment="1" applyProtection="1">
      <alignment vertical="center"/>
      <protection locked="0"/>
    </xf>
    <xf numFmtId="0" fontId="13" fillId="0" borderId="1" xfId="1" applyFont="1" applyBorder="1" applyAlignment="1" applyProtection="1">
      <alignment vertical="center"/>
      <protection locked="0"/>
    </xf>
    <xf numFmtId="0" fontId="54" fillId="0" borderId="1" xfId="1" applyFont="1" applyBorder="1" applyAlignment="1" applyProtection="1">
      <alignment vertical="center"/>
    </xf>
    <xf numFmtId="0" fontId="48" fillId="0" borderId="7" xfId="1" applyFont="1" applyBorder="1" applyAlignment="1" applyProtection="1">
      <alignment vertical="center"/>
      <protection locked="0"/>
    </xf>
    <xf numFmtId="0" fontId="48" fillId="7" borderId="8" xfId="1" applyFont="1" applyFill="1" applyBorder="1" applyAlignment="1" applyProtection="1">
      <alignment vertical="center"/>
    </xf>
    <xf numFmtId="0" fontId="48" fillId="0" borderId="9" xfId="1" applyFont="1" applyBorder="1" applyAlignment="1" applyProtection="1">
      <alignment vertical="center"/>
      <protection locked="0"/>
    </xf>
    <xf numFmtId="0" fontId="48" fillId="7" borderId="2" xfId="1" applyFont="1" applyFill="1" applyBorder="1" applyAlignment="1" applyProtection="1">
      <alignment vertical="center"/>
    </xf>
    <xf numFmtId="177" fontId="48" fillId="7" borderId="2" xfId="1" applyNumberFormat="1" applyFont="1" applyFill="1" applyBorder="1" applyAlignment="1" applyProtection="1">
      <alignment vertical="center"/>
    </xf>
    <xf numFmtId="0" fontId="48" fillId="0" borderId="1" xfId="1" applyFont="1" applyBorder="1" applyAlignment="1" applyProtection="1">
      <alignment horizontal="right" vertical="center"/>
      <protection locked="0"/>
    </xf>
    <xf numFmtId="2" fontId="138" fillId="0" borderId="0" xfId="1" applyNumberFormat="1" applyFont="1" applyAlignment="1" applyProtection="1">
      <alignment horizontal="center" vertical="center"/>
    </xf>
    <xf numFmtId="0" fontId="53" fillId="0" borderId="0" xfId="0" applyFont="1" applyAlignment="1" applyProtection="1">
      <alignment vertical="center"/>
      <protection locked="0"/>
    </xf>
    <xf numFmtId="0" fontId="120" fillId="0" borderId="0" xfId="1" applyFont="1" applyAlignment="1" applyProtection="1">
      <alignment horizontal="center" vertical="center"/>
      <protection locked="0"/>
    </xf>
    <xf numFmtId="0" fontId="120" fillId="0" borderId="0" xfId="1" applyFont="1" applyAlignment="1" applyProtection="1">
      <alignment vertical="center"/>
      <protection locked="0"/>
    </xf>
    <xf numFmtId="0" fontId="116" fillId="7" borderId="0" xfId="1" applyFont="1" applyFill="1" applyAlignment="1" applyProtection="1">
      <alignment vertical="center"/>
      <protection locked="0"/>
    </xf>
    <xf numFmtId="0" fontId="151" fillId="0" borderId="0" xfId="1" applyFont="1" applyAlignment="1" applyProtection="1">
      <alignment horizontal="left" vertical="center"/>
      <protection locked="0"/>
    </xf>
    <xf numFmtId="0" fontId="150" fillId="0" borderId="0" xfId="1" applyFont="1" applyAlignment="1" applyProtection="1">
      <alignment horizontal="left" vertical="center"/>
      <protection locked="0"/>
    </xf>
    <xf numFmtId="0" fontId="150" fillId="0" borderId="0" xfId="1" applyFont="1" applyAlignment="1" applyProtection="1">
      <alignment horizontal="right" vertical="center"/>
      <protection locked="0"/>
    </xf>
    <xf numFmtId="0" fontId="150" fillId="0" borderId="0" xfId="1" applyFont="1" applyAlignment="1" applyProtection="1">
      <alignment horizontal="center" vertical="center"/>
      <protection locked="0"/>
    </xf>
    <xf numFmtId="182" fontId="48" fillId="0" borderId="0" xfId="1" applyNumberFormat="1" applyFont="1" applyAlignment="1" applyProtection="1">
      <alignment vertical="center"/>
    </xf>
    <xf numFmtId="182" fontId="48" fillId="7" borderId="0" xfId="1" applyNumberFormat="1" applyFont="1" applyFill="1" applyAlignment="1" applyProtection="1">
      <alignment horizontal="left" vertical="center"/>
      <protection locked="0"/>
    </xf>
    <xf numFmtId="177" fontId="54" fillId="7" borderId="0" xfId="1" applyNumberFormat="1" applyFont="1" applyFill="1" applyAlignment="1" applyProtection="1">
      <alignment horizontal="center" vertical="center"/>
      <protection locked="0"/>
    </xf>
    <xf numFmtId="182" fontId="138" fillId="7" borderId="0" xfId="1" applyNumberFormat="1" applyFont="1" applyFill="1" applyAlignment="1" applyProtection="1">
      <alignment horizontal="center" vertical="top"/>
    </xf>
    <xf numFmtId="180" fontId="61" fillId="0" borderId="0" xfId="6" applyNumberFormat="1" applyFont="1" applyAlignment="1" applyProtection="1">
      <alignment vertical="center"/>
      <protection locked="0"/>
    </xf>
    <xf numFmtId="0" fontId="17" fillId="0" borderId="1" xfId="6" applyFont="1" applyBorder="1" applyAlignment="1" applyProtection="1">
      <alignment vertical="center"/>
      <protection locked="0"/>
    </xf>
    <xf numFmtId="0" fontId="179" fillId="0" borderId="1" xfId="592" applyFont="1" applyBorder="1" applyAlignment="1" applyProtection="1">
      <alignment vertical="center"/>
      <protection locked="0"/>
    </xf>
    <xf numFmtId="0" fontId="48" fillId="0" borderId="0" xfId="9" applyFont="1" applyProtection="1">
      <alignment vertical="center"/>
      <protection locked="0"/>
    </xf>
    <xf numFmtId="0" fontId="179" fillId="0" borderId="1" xfId="592" applyFont="1" applyBorder="1" applyAlignment="1">
      <alignment vertical="center"/>
    </xf>
    <xf numFmtId="0" fontId="48" fillId="0" borderId="0" xfId="9" applyFont="1" applyAlignment="1" applyProtection="1">
      <alignment horizontal="center" vertical="center" wrapText="1"/>
      <protection locked="0"/>
    </xf>
    <xf numFmtId="0" fontId="180" fillId="0" borderId="1" xfId="0" applyFont="1" applyBorder="1"/>
    <xf numFmtId="2" fontId="158" fillId="7" borderId="0" xfId="0" applyNumberFormat="1" applyFont="1" applyFill="1" applyAlignment="1" applyProtection="1">
      <alignment horizontal="left" vertical="center"/>
    </xf>
    <xf numFmtId="0" fontId="48" fillId="0" borderId="0" xfId="8" applyFont="1" applyAlignment="1" applyProtection="1">
      <protection locked="0"/>
    </xf>
    <xf numFmtId="0" fontId="54" fillId="0" borderId="0" xfId="8" applyFont="1" applyAlignment="1" applyProtection="1">
      <alignment horizontal="right" vertical="center"/>
      <protection locked="0"/>
    </xf>
    <xf numFmtId="2" fontId="54" fillId="0" borderId="0" xfId="8" applyNumberFormat="1" applyFont="1" applyAlignment="1" applyProtection="1">
      <alignment horizontal="left" vertical="center"/>
      <protection locked="0"/>
    </xf>
    <xf numFmtId="176" fontId="48" fillId="7" borderId="2" xfId="1" applyNumberFormat="1" applyFont="1" applyFill="1" applyBorder="1" applyAlignment="1" applyProtection="1">
      <alignment vertical="center"/>
    </xf>
    <xf numFmtId="177" fontId="58" fillId="7" borderId="0" xfId="1" applyNumberFormat="1" applyFont="1" applyFill="1" applyAlignment="1" applyProtection="1">
      <alignment vertical="center"/>
    </xf>
    <xf numFmtId="177" fontId="48" fillId="7" borderId="0" xfId="1" applyNumberFormat="1" applyFont="1" applyFill="1" applyAlignment="1" applyProtection="1">
      <alignment horizontal="center" vertical="center"/>
    </xf>
    <xf numFmtId="0" fontId="48" fillId="7" borderId="0" xfId="1" applyFont="1" applyFill="1" applyAlignment="1" applyProtection="1">
      <alignment horizontal="center" vertical="center"/>
    </xf>
    <xf numFmtId="177" fontId="48" fillId="7" borderId="0" xfId="1" applyNumberFormat="1" applyFont="1" applyFill="1" applyAlignment="1" applyProtection="1">
      <alignment horizontal="left" vertical="center"/>
    </xf>
    <xf numFmtId="0" fontId="48" fillId="7" borderId="0" xfId="1" applyFont="1" applyFill="1" applyAlignment="1" applyProtection="1">
      <alignment horizontal="left" vertical="center"/>
    </xf>
    <xf numFmtId="181" fontId="48" fillId="7" borderId="0" xfId="1" applyNumberFormat="1" applyFont="1" applyFill="1" applyAlignment="1" applyProtection="1">
      <alignment horizontal="left" vertical="center"/>
    </xf>
    <xf numFmtId="0" fontId="58" fillId="0" borderId="0" xfId="1" applyFont="1" applyAlignment="1" applyProtection="1">
      <alignment vertical="center"/>
    </xf>
    <xf numFmtId="176" fontId="48" fillId="7" borderId="0" xfId="1" applyNumberFormat="1" applyFont="1" applyFill="1" applyAlignment="1" applyProtection="1">
      <alignment horizontal="center" vertical="center"/>
      <protection locked="0"/>
    </xf>
    <xf numFmtId="2" fontId="48" fillId="7" borderId="0" xfId="1" applyNumberFormat="1" applyFont="1" applyFill="1" applyAlignment="1" applyProtection="1">
      <alignment horizontal="left" vertical="center"/>
    </xf>
    <xf numFmtId="176" fontId="48" fillId="7" borderId="0" xfId="1" applyNumberFormat="1" applyFont="1" applyFill="1" applyAlignment="1" applyProtection="1">
      <alignment horizontal="left" vertical="center"/>
    </xf>
    <xf numFmtId="182" fontId="48" fillId="7" borderId="0" xfId="1" applyNumberFormat="1" applyFont="1" applyFill="1" applyAlignment="1" applyProtection="1">
      <alignment horizontal="left" vertical="center"/>
    </xf>
    <xf numFmtId="176" fontId="48" fillId="7" borderId="0" xfId="1" applyNumberFormat="1" applyFont="1" applyFill="1" applyAlignment="1" applyProtection="1">
      <alignment horizontal="center" vertical="center"/>
    </xf>
    <xf numFmtId="0" fontId="48" fillId="7" borderId="0" xfId="1" applyFont="1" applyFill="1" applyAlignment="1" applyProtection="1">
      <alignment horizontal="center" vertical="center"/>
      <protection locked="0"/>
    </xf>
    <xf numFmtId="2" fontId="48" fillId="0" borderId="0" xfId="1" applyNumberFormat="1" applyFont="1" applyAlignment="1" applyProtection="1">
      <alignment horizontal="left" vertical="center"/>
    </xf>
    <xf numFmtId="176" fontId="48" fillId="0" borderId="0" xfId="1" applyNumberFormat="1" applyFont="1" applyAlignment="1" applyProtection="1">
      <alignment horizontal="left" vertical="center"/>
    </xf>
    <xf numFmtId="230" fontId="48" fillId="0" borderId="0" xfId="6" applyNumberFormat="1" applyFont="1" applyAlignment="1" applyProtection="1">
      <alignment vertical="center"/>
      <protection locked="0"/>
    </xf>
    <xf numFmtId="2" fontId="48" fillId="0" borderId="0" xfId="6" applyNumberFormat="1" applyFont="1" applyAlignment="1" applyProtection="1">
      <alignment vertical="center"/>
      <protection locked="0"/>
    </xf>
    <xf numFmtId="0" fontId="48" fillId="7" borderId="0" xfId="1" applyFont="1" applyFill="1" applyAlignment="1" applyProtection="1">
      <alignment horizontal="left" vertical="center"/>
      <protection locked="0"/>
    </xf>
    <xf numFmtId="0" fontId="66" fillId="0" borderId="1" xfId="0" applyFont="1" applyBorder="1" applyAlignment="1">
      <alignment vertical="center"/>
    </xf>
    <xf numFmtId="9" fontId="48" fillId="9" borderId="1" xfId="230" applyFont="1" applyFill="1" applyBorder="1" applyAlignment="1" applyProtection="1">
      <alignment horizontal="center"/>
      <protection locked="0"/>
    </xf>
    <xf numFmtId="9" fontId="138" fillId="7" borderId="1" xfId="230" applyFont="1" applyFill="1" applyBorder="1" applyAlignment="1" applyProtection="1">
      <alignment horizontal="center"/>
    </xf>
    <xf numFmtId="9" fontId="138" fillId="7" borderId="1" xfId="230" applyFont="1" applyFill="1" applyBorder="1" applyAlignment="1" applyProtection="1">
      <alignment horizontal="center"/>
      <protection locked="0"/>
    </xf>
    <xf numFmtId="9" fontId="48" fillId="7" borderId="1" xfId="230" applyFont="1" applyFill="1" applyBorder="1" applyAlignment="1" applyProtection="1">
      <alignment horizontal="center"/>
    </xf>
    <xf numFmtId="9" fontId="48" fillId="0" borderId="1" xfId="230" applyFont="1" applyFill="1" applyBorder="1" applyAlignment="1" applyProtection="1">
      <alignment horizontal="center"/>
      <protection locked="0"/>
    </xf>
    <xf numFmtId="9" fontId="48" fillId="7" borderId="1" xfId="230" applyFont="1" applyFill="1" applyBorder="1" applyAlignment="1" applyProtection="1">
      <alignment horizontal="center"/>
      <protection locked="0"/>
    </xf>
    <xf numFmtId="9" fontId="48" fillId="7" borderId="1" xfId="230" applyFont="1" applyFill="1" applyBorder="1" applyAlignment="1" applyProtection="1">
      <alignment horizontal="right"/>
      <protection locked="0"/>
    </xf>
    <xf numFmtId="0" fontId="60" fillId="9" borderId="118" xfId="6" applyFont="1" applyFill="1" applyBorder="1" applyAlignment="1" applyProtection="1">
      <alignment vertical="center"/>
      <protection locked="0"/>
    </xf>
    <xf numFmtId="0" fontId="142" fillId="0" borderId="1" xfId="0" applyFont="1" applyBorder="1" applyAlignment="1">
      <alignment horizontal="left" wrapText="1"/>
    </xf>
    <xf numFmtId="0" fontId="162" fillId="7" borderId="0" xfId="0" applyFont="1" applyFill="1" applyAlignment="1" applyProtection="1">
      <alignment horizontal="left"/>
    </xf>
    <xf numFmtId="0" fontId="181" fillId="7" borderId="0" xfId="0" applyFont="1" applyFill="1" applyProtection="1">
      <protection locked="0"/>
    </xf>
    <xf numFmtId="0" fontId="162" fillId="7" borderId="0" xfId="0" applyNumberFormat="1" applyFont="1" applyFill="1" applyProtection="1"/>
    <xf numFmtId="0" fontId="13" fillId="9" borderId="1" xfId="0" applyNumberFormat="1" applyFont="1" applyFill="1" applyBorder="1" applyAlignment="1" applyProtection="1">
      <alignment horizontal="center" vertical="center"/>
      <protection locked="0"/>
    </xf>
    <xf numFmtId="0" fontId="13" fillId="9" borderId="1" xfId="0" applyFont="1" applyFill="1" applyBorder="1" applyAlignment="1" applyProtection="1">
      <alignment horizontal="center"/>
      <protection locked="0"/>
    </xf>
    <xf numFmtId="2" fontId="48" fillId="7" borderId="37" xfId="236" applyNumberFormat="1" applyFont="1" applyFill="1" applyBorder="1" applyAlignment="1" applyProtection="1">
      <alignment horizontal="center" vertical="center"/>
      <protection locked="0"/>
    </xf>
    <xf numFmtId="182" fontId="47" fillId="7" borderId="1" xfId="230" applyNumberFormat="1" applyFont="1" applyFill="1" applyBorder="1" applyAlignment="1" applyProtection="1">
      <alignment horizontal="center" vertical="center"/>
      <protection locked="0"/>
    </xf>
    <xf numFmtId="176" fontId="158" fillId="7" borderId="1" xfId="0" applyNumberFormat="1" applyFont="1" applyFill="1" applyBorder="1" applyProtection="1"/>
    <xf numFmtId="0" fontId="158" fillId="9" borderId="2" xfId="0" applyFont="1" applyFill="1" applyBorder="1" applyAlignment="1" applyProtection="1">
      <alignment horizontal="center" vertical="center"/>
      <protection locked="0"/>
    </xf>
    <xf numFmtId="0" fontId="158" fillId="9" borderId="26" xfId="0" applyFont="1" applyFill="1" applyBorder="1" applyAlignment="1" applyProtection="1">
      <alignment horizontal="center" vertical="center"/>
      <protection locked="0"/>
    </xf>
    <xf numFmtId="0" fontId="48" fillId="8" borderId="5" xfId="593" applyFont="1" applyFill="1" applyBorder="1" applyAlignment="1" applyProtection="1">
      <alignment horizontal="center" vertical="center" wrapText="1"/>
      <protection locked="0"/>
    </xf>
    <xf numFmtId="0" fontId="166" fillId="8" borderId="1" xfId="6" applyFont="1" applyFill="1" applyBorder="1" applyAlignment="1" applyProtection="1">
      <alignment horizontal="center" vertical="center" wrapText="1"/>
      <protection locked="0"/>
    </xf>
    <xf numFmtId="0" fontId="183" fillId="0" borderId="0" xfId="9" applyFont="1" applyProtection="1">
      <alignment vertical="center"/>
      <protection locked="0"/>
    </xf>
    <xf numFmtId="227" fontId="47" fillId="7" borderId="1" xfId="6" applyNumberFormat="1" applyFont="1" applyFill="1" applyBorder="1" applyAlignment="1" applyProtection="1">
      <alignment horizontal="center" vertical="center"/>
    </xf>
    <xf numFmtId="10" fontId="47" fillId="7" borderId="2" xfId="230" applyNumberFormat="1" applyFont="1" applyFill="1" applyBorder="1" applyAlignment="1" applyProtection="1">
      <alignment horizontal="center" vertical="center"/>
    </xf>
    <xf numFmtId="227" fontId="47" fillId="7" borderId="1" xfId="230" applyNumberFormat="1" applyFont="1" applyFill="1" applyBorder="1" applyAlignment="1" applyProtection="1">
      <alignment horizontal="center" vertical="center"/>
    </xf>
    <xf numFmtId="0" fontId="13" fillId="8" borderId="5" xfId="593" applyFont="1" applyFill="1" applyBorder="1" applyAlignment="1" applyProtection="1">
      <alignment horizontal="center" vertical="center" wrapText="1"/>
      <protection locked="0"/>
    </xf>
    <xf numFmtId="179" fontId="47" fillId="9" borderId="1" xfId="230" applyNumberFormat="1" applyFont="1" applyFill="1" applyBorder="1" applyAlignment="1" applyProtection="1">
      <alignment horizontal="center" vertical="center"/>
      <protection locked="0"/>
    </xf>
    <xf numFmtId="179" fontId="47" fillId="9" borderId="1" xfId="6" applyNumberFormat="1" applyFont="1" applyFill="1" applyBorder="1" applyAlignment="1" applyProtection="1">
      <alignment horizontal="center" vertical="center" wrapText="1"/>
      <protection locked="0"/>
    </xf>
    <xf numFmtId="184" fontId="47" fillId="9" borderId="1" xfId="6" applyNumberFormat="1" applyFont="1" applyFill="1" applyBorder="1" applyAlignment="1" applyProtection="1">
      <alignment horizontal="center" vertical="center"/>
      <protection locked="0"/>
    </xf>
    <xf numFmtId="184" fontId="158" fillId="9" borderId="1" xfId="0" applyNumberFormat="1" applyFont="1" applyFill="1" applyBorder="1" applyAlignment="1" applyProtection="1">
      <alignment horizontal="center" vertical="center"/>
      <protection locked="0"/>
    </xf>
    <xf numFmtId="0" fontId="158" fillId="9" borderId="7" xfId="0" applyFont="1" applyFill="1" applyBorder="1" applyAlignment="1" applyProtection="1">
      <alignment horizontal="center" vertical="center"/>
      <protection locked="0"/>
    </xf>
    <xf numFmtId="184" fontId="158" fillId="9" borderId="130" xfId="0" applyNumberFormat="1" applyFont="1" applyFill="1" applyBorder="1" applyAlignment="1" applyProtection="1">
      <alignment horizontal="center" vertical="center"/>
      <protection locked="0"/>
    </xf>
    <xf numFmtId="184" fontId="158" fillId="9" borderId="26" xfId="0" applyNumberFormat="1" applyFont="1" applyFill="1" applyBorder="1" applyAlignment="1" applyProtection="1">
      <alignment horizontal="center" vertical="center"/>
      <protection locked="0"/>
    </xf>
    <xf numFmtId="184" fontId="158" fillId="9" borderId="131" xfId="0" applyNumberFormat="1" applyFont="1" applyFill="1" applyBorder="1" applyAlignment="1" applyProtection="1">
      <alignment horizontal="center" vertical="center"/>
      <protection locked="0"/>
    </xf>
    <xf numFmtId="184" fontId="48" fillId="9" borderId="1" xfId="0" applyNumberFormat="1" applyFont="1" applyFill="1" applyBorder="1" applyAlignment="1" applyProtection="1">
      <alignment horizontal="center" vertical="center"/>
      <protection locked="0"/>
    </xf>
    <xf numFmtId="179" fontId="48" fillId="9" borderId="1" xfId="0" applyNumberFormat="1" applyFont="1" applyFill="1" applyBorder="1" applyAlignment="1" applyProtection="1">
      <alignment horizontal="center" vertical="center"/>
      <protection locked="0"/>
    </xf>
    <xf numFmtId="184" fontId="138" fillId="9" borderId="1" xfId="0" applyNumberFormat="1" applyFont="1" applyFill="1" applyBorder="1" applyAlignment="1" applyProtection="1">
      <alignment horizontal="center" vertical="center"/>
      <protection locked="0"/>
    </xf>
    <xf numFmtId="179" fontId="48" fillId="9" borderId="2" xfId="1" applyNumberFormat="1" applyFont="1" applyFill="1" applyBorder="1" applyAlignment="1" applyProtection="1">
      <alignment vertical="center"/>
      <protection locked="0"/>
    </xf>
    <xf numFmtId="179" fontId="48" fillId="9" borderId="34" xfId="236" applyNumberFormat="1" applyFont="1" applyFill="1" applyBorder="1" applyAlignment="1" applyProtection="1">
      <alignment horizontal="center" vertical="center"/>
      <protection locked="0"/>
    </xf>
    <xf numFmtId="184" fontId="48" fillId="9" borderId="9" xfId="237" applyNumberFormat="1" applyFont="1" applyFill="1" applyBorder="1" applyAlignment="1" applyProtection="1">
      <alignment horizontal="center" vertical="center"/>
      <protection locked="0"/>
    </xf>
    <xf numFmtId="179" fontId="48" fillId="9" borderId="45" xfId="236" applyNumberFormat="1" applyFont="1" applyFill="1" applyBorder="1" applyAlignment="1" applyProtection="1">
      <alignment horizontal="center" vertical="center"/>
      <protection locked="0"/>
    </xf>
    <xf numFmtId="184" fontId="48" fillId="9" borderId="34" xfId="237" applyNumberFormat="1" applyFont="1" applyFill="1" applyBorder="1" applyAlignment="1" applyProtection="1">
      <alignment horizontal="center" vertical="center"/>
      <protection locked="0"/>
    </xf>
    <xf numFmtId="184" fontId="48" fillId="9" borderId="45" xfId="237" applyNumberFormat="1" applyFont="1" applyFill="1" applyBorder="1" applyAlignment="1" applyProtection="1">
      <alignment horizontal="center" vertical="center"/>
      <protection locked="0"/>
    </xf>
    <xf numFmtId="184" fontId="48" fillId="9" borderId="1" xfId="237" applyNumberFormat="1" applyFont="1" applyFill="1" applyBorder="1" applyAlignment="1" applyProtection="1">
      <alignment horizontal="center" vertical="center"/>
      <protection locked="0"/>
    </xf>
    <xf numFmtId="184" fontId="48" fillId="9" borderId="37" xfId="237" applyNumberFormat="1" applyFont="1" applyFill="1" applyBorder="1" applyAlignment="1" applyProtection="1">
      <alignment horizontal="center" vertical="center"/>
      <protection locked="0"/>
    </xf>
    <xf numFmtId="184" fontId="48" fillId="9" borderId="26" xfId="237" applyNumberFormat="1" applyFont="1" applyFill="1" applyBorder="1" applyAlignment="1" applyProtection="1">
      <alignment horizontal="center" vertical="center"/>
      <protection locked="0"/>
    </xf>
    <xf numFmtId="179" fontId="48" fillId="9" borderId="25" xfId="236" applyNumberFormat="1" applyFont="1" applyFill="1" applyBorder="1" applyAlignment="1" applyProtection="1">
      <alignment horizontal="center" vertical="center"/>
      <protection locked="0"/>
    </xf>
    <xf numFmtId="184" fontId="48" fillId="9" borderId="4" xfId="237" applyNumberFormat="1" applyFont="1" applyFill="1" applyBorder="1" applyAlignment="1" applyProtection="1">
      <alignment horizontal="center" vertical="center"/>
      <protection locked="0"/>
    </xf>
    <xf numFmtId="184" fontId="48" fillId="9" borderId="4" xfId="236" applyNumberFormat="1" applyFont="1" applyFill="1" applyBorder="1" applyAlignment="1" applyProtection="1">
      <alignment horizontal="center" vertical="center"/>
      <protection locked="0"/>
    </xf>
    <xf numFmtId="184" fontId="48" fillId="9" borderId="1" xfId="236" applyNumberFormat="1" applyFont="1" applyFill="1" applyBorder="1" applyAlignment="1" applyProtection="1">
      <alignment horizontal="center" vertical="center"/>
      <protection locked="0"/>
    </xf>
    <xf numFmtId="184" fontId="48" fillId="9" borderId="23" xfId="236" applyNumberFormat="1" applyFont="1" applyFill="1" applyBorder="1" applyAlignment="1" applyProtection="1">
      <alignment horizontal="center" vertical="center"/>
      <protection locked="0"/>
    </xf>
    <xf numFmtId="184" fontId="48" fillId="9" borderId="26" xfId="236" applyNumberFormat="1" applyFont="1" applyFill="1" applyBorder="1" applyAlignment="1" applyProtection="1">
      <alignment horizontal="center" vertical="center"/>
      <protection locked="0"/>
    </xf>
    <xf numFmtId="179" fontId="48" fillId="9" borderId="9" xfId="236" applyNumberFormat="1" applyFont="1" applyFill="1" applyBorder="1" applyAlignment="1" applyProtection="1">
      <alignment horizontal="center" vertical="center"/>
      <protection locked="0"/>
    </xf>
    <xf numFmtId="184" fontId="48" fillId="9" borderId="7" xfId="237" applyNumberFormat="1" applyFont="1" applyFill="1" applyBorder="1" applyAlignment="1" applyProtection="1">
      <alignment horizontal="center" vertical="center"/>
      <protection locked="0"/>
    </xf>
    <xf numFmtId="184" fontId="138" fillId="7" borderId="1" xfId="0" applyNumberFormat="1" applyFont="1" applyFill="1" applyBorder="1" applyAlignment="1" applyProtection="1">
      <alignment horizontal="center" vertical="center"/>
    </xf>
    <xf numFmtId="184" fontId="138" fillId="7" borderId="4" xfId="0" applyNumberFormat="1" applyFont="1" applyFill="1" applyBorder="1" applyAlignment="1" applyProtection="1">
      <alignment horizontal="center" vertical="center"/>
    </xf>
    <xf numFmtId="0" fontId="138" fillId="8" borderId="5" xfId="593" applyFont="1" applyFill="1" applyBorder="1" applyAlignment="1" applyProtection="1">
      <alignment horizontal="center" vertical="center"/>
      <protection locked="0"/>
    </xf>
    <xf numFmtId="0" fontId="48" fillId="8" borderId="5" xfId="593" applyFont="1" applyFill="1" applyBorder="1" applyAlignment="1" applyProtection="1">
      <alignment horizontal="center" vertical="center" wrapText="1"/>
      <protection locked="0"/>
    </xf>
    <xf numFmtId="0" fontId="48" fillId="9" borderId="1" xfId="230" applyNumberFormat="1" applyFont="1" applyFill="1" applyBorder="1" applyAlignment="1" applyProtection="1">
      <alignment horizontal="center" vertical="center"/>
      <protection locked="0"/>
    </xf>
    <xf numFmtId="179" fontId="53" fillId="28" borderId="109" xfId="0" applyNumberFormat="1" applyFont="1" applyFill="1" applyBorder="1" applyAlignment="1" applyProtection="1">
      <alignment horizontal="center" vertical="center" wrapText="1" readingOrder="1"/>
    </xf>
    <xf numFmtId="0" fontId="50" fillId="7" borderId="5" xfId="0" applyFont="1" applyFill="1" applyBorder="1" applyAlignment="1">
      <alignment horizontal="center" vertical="center"/>
    </xf>
    <xf numFmtId="0" fontId="50" fillId="7" borderId="7" xfId="0" applyFont="1" applyFill="1" applyBorder="1" applyAlignment="1">
      <alignment horizontal="center" vertical="center"/>
    </xf>
    <xf numFmtId="0" fontId="50" fillId="7" borderId="119" xfId="0" applyFont="1" applyFill="1" applyBorder="1" applyAlignment="1">
      <alignment horizontal="center"/>
    </xf>
    <xf numFmtId="0" fontId="50" fillId="7" borderId="0" xfId="0" applyFont="1" applyFill="1" applyBorder="1" applyAlignment="1">
      <alignment horizontal="center"/>
    </xf>
    <xf numFmtId="0" fontId="50" fillId="8" borderId="1" xfId="0" applyFont="1" applyFill="1" applyBorder="1" applyAlignment="1">
      <alignment horizontal="center" vertical="center"/>
    </xf>
    <xf numFmtId="0" fontId="53" fillId="27" borderId="107" xfId="0" applyFont="1" applyFill="1" applyBorder="1" applyAlignment="1" applyProtection="1">
      <alignment horizontal="left" vertical="center" wrapText="1" readingOrder="1"/>
      <protection locked="0"/>
    </xf>
    <xf numFmtId="0" fontId="53" fillId="27" borderId="108" xfId="0" applyFont="1" applyFill="1" applyBorder="1" applyAlignment="1" applyProtection="1">
      <alignment horizontal="left" vertical="center" wrapText="1" readingOrder="1"/>
      <protection locked="0"/>
    </xf>
    <xf numFmtId="0" fontId="53" fillId="28" borderId="107" xfId="0" applyFont="1" applyFill="1" applyBorder="1" applyAlignment="1" applyProtection="1">
      <alignment horizontal="left" vertical="center" wrapText="1" readingOrder="1"/>
      <protection locked="0"/>
    </xf>
    <xf numFmtId="0" fontId="53" fillId="28" borderId="108" xfId="0" applyFont="1" applyFill="1" applyBorder="1" applyAlignment="1" applyProtection="1">
      <alignment horizontal="left" vertical="center" wrapText="1" readingOrder="1"/>
      <protection locked="0"/>
    </xf>
    <xf numFmtId="0" fontId="175" fillId="26" borderId="100" xfId="0" applyFont="1" applyFill="1" applyBorder="1" applyAlignment="1" applyProtection="1">
      <alignment horizontal="center" vertical="center" wrapText="1" readingOrder="1"/>
      <protection locked="0"/>
    </xf>
    <xf numFmtId="0" fontId="175" fillId="26" borderId="101" xfId="0" applyFont="1" applyFill="1" applyBorder="1" applyAlignment="1" applyProtection="1">
      <alignment horizontal="center" vertical="center" wrapText="1" readingOrder="1"/>
      <protection locked="0"/>
    </xf>
    <xf numFmtId="0" fontId="53" fillId="28" borderId="102" xfId="0" applyFont="1" applyFill="1" applyBorder="1" applyAlignment="1" applyProtection="1">
      <alignment horizontal="left" vertical="center" wrapText="1" readingOrder="1"/>
      <protection locked="0"/>
    </xf>
    <xf numFmtId="0" fontId="53" fillId="28" borderId="110" xfId="0" applyFont="1" applyFill="1" applyBorder="1" applyAlignment="1" applyProtection="1">
      <alignment horizontal="left" vertical="center" wrapText="1" readingOrder="1"/>
      <protection locked="0"/>
    </xf>
    <xf numFmtId="0" fontId="137" fillId="27" borderId="103" xfId="0" applyFont="1" applyFill="1" applyBorder="1" applyAlignment="1" applyProtection="1">
      <alignment horizontal="left" vertical="center" wrapText="1" readingOrder="1"/>
      <protection locked="0"/>
    </xf>
    <xf numFmtId="0" fontId="137" fillId="27" borderId="104" xfId="0" applyFont="1" applyFill="1" applyBorder="1" applyAlignment="1" applyProtection="1">
      <alignment horizontal="left" vertical="center" wrapText="1" readingOrder="1"/>
      <protection locked="0"/>
    </xf>
    <xf numFmtId="0" fontId="53" fillId="27" borderId="103" xfId="0" applyFont="1" applyFill="1" applyBorder="1" applyAlignment="1" applyProtection="1">
      <alignment horizontal="left" vertical="center" wrapText="1" readingOrder="1"/>
      <protection locked="0"/>
    </xf>
    <xf numFmtId="0" fontId="53" fillId="27" borderId="104" xfId="0" applyFont="1" applyFill="1" applyBorder="1" applyAlignment="1" applyProtection="1">
      <alignment horizontal="left" vertical="center" wrapText="1" readingOrder="1"/>
      <protection locked="0"/>
    </xf>
    <xf numFmtId="0" fontId="113" fillId="28" borderId="107" xfId="0" applyFont="1" applyFill="1" applyBorder="1" applyAlignment="1" applyProtection="1">
      <alignment horizontal="left" vertical="center" wrapText="1" readingOrder="1"/>
      <protection locked="0"/>
    </xf>
    <xf numFmtId="0" fontId="138" fillId="28" borderId="107" xfId="0" applyFont="1" applyFill="1" applyBorder="1" applyAlignment="1" applyProtection="1">
      <alignment horizontal="left" vertical="center" wrapText="1" readingOrder="1"/>
      <protection locked="0"/>
    </xf>
    <xf numFmtId="0" fontId="138" fillId="27" borderId="107" xfId="0" applyFont="1" applyFill="1" applyBorder="1" applyAlignment="1" applyProtection="1">
      <alignment horizontal="left" vertical="center" wrapText="1" readingOrder="1"/>
      <protection locked="0"/>
    </xf>
    <xf numFmtId="0" fontId="138" fillId="27" borderId="108" xfId="0" applyFont="1" applyFill="1" applyBorder="1" applyAlignment="1" applyProtection="1">
      <alignment horizontal="left" vertical="center" wrapText="1" readingOrder="1"/>
      <protection locked="0"/>
    </xf>
    <xf numFmtId="0" fontId="53" fillId="27" borderId="111" xfId="0" applyFont="1" applyFill="1" applyBorder="1" applyAlignment="1" applyProtection="1">
      <alignment horizontal="center" vertical="center" wrapText="1" readingOrder="1"/>
      <protection locked="0"/>
    </xf>
    <xf numFmtId="0" fontId="53" fillId="27" borderId="112" xfId="0" applyFont="1" applyFill="1" applyBorder="1" applyAlignment="1" applyProtection="1">
      <alignment horizontal="center" vertical="center" wrapText="1" readingOrder="1"/>
      <protection locked="0"/>
    </xf>
    <xf numFmtId="0" fontId="53" fillId="27" borderId="106" xfId="0" applyFont="1" applyFill="1" applyBorder="1" applyAlignment="1" applyProtection="1">
      <alignment horizontal="center" vertical="center" wrapText="1" readingOrder="1"/>
      <protection locked="0"/>
    </xf>
    <xf numFmtId="0" fontId="53" fillId="27" borderId="98" xfId="0" applyFont="1" applyFill="1" applyBorder="1" applyAlignment="1" applyProtection="1">
      <alignment horizontal="center" vertical="center" wrapText="1" readingOrder="1"/>
      <protection locked="0"/>
    </xf>
    <xf numFmtId="0" fontId="53" fillId="27" borderId="113" xfId="0" applyFont="1" applyFill="1" applyBorder="1" applyAlignment="1" applyProtection="1">
      <alignment horizontal="center" vertical="center" wrapText="1" readingOrder="1"/>
      <protection locked="0"/>
    </xf>
    <xf numFmtId="0" fontId="53" fillId="27" borderId="99" xfId="0" applyFont="1" applyFill="1" applyBorder="1" applyAlignment="1" applyProtection="1">
      <alignment horizontal="center" vertical="center" wrapText="1" readingOrder="1"/>
      <protection locked="0"/>
    </xf>
    <xf numFmtId="184" fontId="158" fillId="9" borderId="26" xfId="0" applyNumberFormat="1" applyFont="1" applyFill="1" applyBorder="1" applyAlignment="1" applyProtection="1">
      <alignment horizontal="center"/>
      <protection locked="0"/>
    </xf>
    <xf numFmtId="184" fontId="158" fillId="9" borderId="1" xfId="0" applyNumberFormat="1" applyFont="1" applyFill="1" applyBorder="1" applyAlignment="1" applyProtection="1">
      <alignment horizontal="center"/>
      <protection locked="0"/>
    </xf>
    <xf numFmtId="0" fontId="158" fillId="9" borderId="80" xfId="0" applyFont="1" applyFill="1" applyBorder="1" applyAlignment="1" applyProtection="1">
      <alignment horizontal="center" vertical="center"/>
      <protection locked="0"/>
    </xf>
    <xf numFmtId="0" fontId="158" fillId="9" borderId="25" xfId="0" applyFont="1" applyFill="1" applyBorder="1" applyAlignment="1" applyProtection="1">
      <alignment horizontal="center" vertical="center"/>
      <protection locked="0"/>
    </xf>
    <xf numFmtId="0" fontId="158" fillId="9" borderId="23" xfId="0" applyFont="1" applyFill="1" applyBorder="1" applyAlignment="1" applyProtection="1">
      <alignment horizontal="center" vertical="center"/>
      <protection locked="0"/>
    </xf>
    <xf numFmtId="0" fontId="158" fillId="9" borderId="2" xfId="0" applyFont="1" applyFill="1" applyBorder="1" applyAlignment="1" applyProtection="1">
      <alignment horizontal="center" vertical="center"/>
      <protection locked="0"/>
    </xf>
    <xf numFmtId="0" fontId="158" fillId="9" borderId="3" xfId="0" applyFont="1" applyFill="1" applyBorder="1" applyAlignment="1" applyProtection="1">
      <alignment horizontal="center" vertical="center"/>
      <protection locked="0"/>
    </xf>
    <xf numFmtId="0" fontId="158" fillId="9" borderId="4" xfId="0" applyFont="1" applyFill="1" applyBorder="1" applyAlignment="1" applyProtection="1">
      <alignment horizontal="center" vertical="center"/>
      <protection locked="0"/>
    </xf>
    <xf numFmtId="184" fontId="158" fillId="9" borderId="37" xfId="0" applyNumberFormat="1" applyFont="1" applyFill="1" applyBorder="1" applyAlignment="1" applyProtection="1">
      <alignment horizontal="center"/>
      <protection locked="0"/>
    </xf>
    <xf numFmtId="0" fontId="66" fillId="8" borderId="133" xfId="0" applyNumberFormat="1" applyFont="1" applyFill="1" applyBorder="1" applyAlignment="1" applyProtection="1">
      <alignment horizontal="center" vertical="center"/>
      <protection locked="0"/>
    </xf>
    <xf numFmtId="0" fontId="66" fillId="8" borderId="13" xfId="0" applyNumberFormat="1" applyFont="1" applyFill="1" applyBorder="1" applyAlignment="1" applyProtection="1">
      <alignment horizontal="center" vertical="center"/>
      <protection locked="0"/>
    </xf>
    <xf numFmtId="0" fontId="66" fillId="8" borderId="134" xfId="0" applyNumberFormat="1" applyFont="1" applyFill="1" applyBorder="1" applyAlignment="1" applyProtection="1">
      <alignment horizontal="center" vertical="center"/>
      <protection locked="0"/>
    </xf>
    <xf numFmtId="0" fontId="66" fillId="8" borderId="133" xfId="0" applyFont="1" applyFill="1" applyBorder="1" applyAlignment="1" applyProtection="1">
      <alignment horizontal="center" vertical="center"/>
      <protection locked="0"/>
    </xf>
    <xf numFmtId="0" fontId="50" fillId="8" borderId="13" xfId="0" applyFont="1" applyFill="1" applyBorder="1" applyAlignment="1" applyProtection="1">
      <alignment horizontal="center" vertical="center"/>
      <protection locked="0"/>
    </xf>
    <xf numFmtId="0" fontId="50" fillId="8" borderId="134" xfId="0" applyFont="1" applyFill="1" applyBorder="1" applyAlignment="1" applyProtection="1">
      <alignment horizontal="center" vertical="center"/>
      <protection locked="0"/>
    </xf>
    <xf numFmtId="176" fontId="158" fillId="9" borderId="44" xfId="0" applyNumberFormat="1" applyFont="1" applyFill="1" applyBorder="1" applyAlignment="1" applyProtection="1">
      <alignment horizontal="center" vertical="center"/>
      <protection locked="0"/>
    </xf>
    <xf numFmtId="176" fontId="158" fillId="9" borderId="36" xfId="0" applyNumberFormat="1" applyFont="1" applyFill="1" applyBorder="1" applyAlignment="1" applyProtection="1">
      <alignment horizontal="center" vertical="center"/>
      <protection locked="0"/>
    </xf>
    <xf numFmtId="176" fontId="158" fillId="9" borderId="34" xfId="0" applyNumberFormat="1" applyFont="1" applyFill="1" applyBorder="1" applyAlignment="1" applyProtection="1">
      <alignment horizontal="center" vertical="center"/>
      <protection locked="0"/>
    </xf>
    <xf numFmtId="0" fontId="50" fillId="0" borderId="119" xfId="0" applyFont="1" applyFill="1" applyBorder="1" applyAlignment="1" applyProtection="1">
      <alignment horizontal="center"/>
      <protection locked="0"/>
    </xf>
    <xf numFmtId="0" fontId="138" fillId="7" borderId="80" xfId="0" applyFont="1" applyFill="1" applyBorder="1" applyAlignment="1" applyProtection="1">
      <alignment horizontal="center"/>
      <protection locked="0"/>
    </xf>
    <xf numFmtId="0" fontId="138" fillId="7" borderId="25" xfId="0" applyFont="1" applyFill="1" applyBorder="1" applyAlignment="1" applyProtection="1">
      <alignment horizontal="center"/>
      <protection locked="0"/>
    </xf>
    <xf numFmtId="0" fontId="138" fillId="7" borderId="23" xfId="0" applyFont="1" applyFill="1" applyBorder="1" applyAlignment="1" applyProtection="1">
      <alignment horizontal="center"/>
      <protection locked="0"/>
    </xf>
    <xf numFmtId="0" fontId="158" fillId="7" borderId="80" xfId="0" applyFont="1" applyFill="1" applyBorder="1" applyAlignment="1" applyProtection="1">
      <alignment horizontal="center"/>
      <protection locked="0"/>
    </xf>
    <xf numFmtId="0" fontId="158" fillId="7" borderId="25" xfId="0" applyFont="1" applyFill="1" applyBorder="1" applyAlignment="1" applyProtection="1">
      <alignment horizontal="center"/>
      <protection locked="0"/>
    </xf>
    <xf numFmtId="0" fontId="158" fillId="7" borderId="23" xfId="0" applyFont="1" applyFill="1" applyBorder="1" applyAlignment="1" applyProtection="1">
      <alignment horizontal="center"/>
      <protection locked="0"/>
    </xf>
    <xf numFmtId="0" fontId="158" fillId="7" borderId="80" xfId="0" applyFont="1" applyFill="1" applyBorder="1" applyAlignment="1" applyProtection="1">
      <alignment horizontal="center"/>
    </xf>
    <xf numFmtId="0" fontId="158" fillId="7" borderId="25" xfId="0" applyFont="1" applyFill="1" applyBorder="1" applyAlignment="1" applyProtection="1">
      <alignment horizontal="center"/>
    </xf>
    <xf numFmtId="0" fontId="158" fillId="7" borderId="23" xfId="0" applyFont="1" applyFill="1" applyBorder="1" applyAlignment="1" applyProtection="1">
      <alignment horizontal="center"/>
    </xf>
    <xf numFmtId="0" fontId="150" fillId="7" borderId="132" xfId="0" applyFont="1" applyFill="1" applyBorder="1" applyAlignment="1" applyProtection="1">
      <alignment horizontal="left" vertical="center" wrapText="1"/>
      <protection locked="0"/>
    </xf>
    <xf numFmtId="0" fontId="150" fillId="7" borderId="128" xfId="0" applyFont="1" applyFill="1" applyBorder="1" applyAlignment="1" applyProtection="1">
      <alignment horizontal="left" vertical="center" wrapText="1"/>
      <protection locked="0"/>
    </xf>
    <xf numFmtId="0" fontId="150" fillId="7" borderId="10" xfId="0" applyFont="1" applyFill="1" applyBorder="1" applyAlignment="1" applyProtection="1">
      <alignment horizontal="left" vertical="center" wrapText="1"/>
      <protection locked="0"/>
    </xf>
    <xf numFmtId="182" fontId="158" fillId="7" borderId="2" xfId="0" applyNumberFormat="1" applyFont="1" applyFill="1" applyBorder="1" applyAlignment="1" applyProtection="1">
      <alignment horizontal="center"/>
    </xf>
    <xf numFmtId="182" fontId="158" fillId="7" borderId="3" xfId="0" applyNumberFormat="1" applyFont="1" applyFill="1" applyBorder="1" applyAlignment="1" applyProtection="1">
      <alignment horizontal="center"/>
    </xf>
    <xf numFmtId="182" fontId="158" fillId="7" borderId="4" xfId="0" applyNumberFormat="1" applyFont="1" applyFill="1" applyBorder="1" applyAlignment="1" applyProtection="1">
      <alignment horizontal="center"/>
    </xf>
    <xf numFmtId="0" fontId="150" fillId="7" borderId="2" xfId="0" applyFont="1" applyFill="1" applyBorder="1" applyAlignment="1" applyProtection="1">
      <alignment horizontal="left"/>
      <protection locked="0"/>
    </xf>
    <xf numFmtId="0" fontId="138" fillId="7" borderId="3" xfId="0" applyFont="1" applyFill="1" applyBorder="1" applyAlignment="1" applyProtection="1">
      <alignment horizontal="left"/>
      <protection locked="0"/>
    </xf>
    <xf numFmtId="0" fontId="138" fillId="7" borderId="4" xfId="0" applyFont="1" applyFill="1" applyBorder="1" applyAlignment="1" applyProtection="1">
      <alignment horizontal="left"/>
      <protection locked="0"/>
    </xf>
    <xf numFmtId="0" fontId="150" fillId="7" borderId="12" xfId="0" applyFont="1" applyFill="1" applyBorder="1" applyAlignment="1" applyProtection="1">
      <alignment horizontal="left" vertical="center" wrapText="1"/>
      <protection locked="0"/>
    </xf>
    <xf numFmtId="0" fontId="150" fillId="7" borderId="0" xfId="0" applyFont="1" applyFill="1" applyBorder="1" applyAlignment="1" applyProtection="1">
      <alignment horizontal="left" vertical="center" wrapText="1"/>
      <protection locked="0"/>
    </xf>
    <xf numFmtId="0" fontId="150" fillId="7" borderId="11" xfId="0" applyFont="1" applyFill="1" applyBorder="1" applyAlignment="1" applyProtection="1">
      <alignment horizontal="left" vertical="center" wrapText="1"/>
      <protection locked="0"/>
    </xf>
    <xf numFmtId="182" fontId="158" fillId="7" borderId="8" xfId="0" applyNumberFormat="1" applyFont="1" applyFill="1" applyBorder="1" applyAlignment="1" applyProtection="1">
      <alignment horizontal="center"/>
    </xf>
    <xf numFmtId="182" fontId="158" fillId="7" borderId="14" xfId="0" applyNumberFormat="1" applyFont="1" applyFill="1" applyBorder="1" applyAlignment="1" applyProtection="1">
      <alignment horizontal="center"/>
    </xf>
    <xf numFmtId="182" fontId="158" fillId="7" borderId="9" xfId="0" applyNumberFormat="1" applyFont="1" applyFill="1" applyBorder="1" applyAlignment="1" applyProtection="1">
      <alignment horizontal="center"/>
    </xf>
    <xf numFmtId="0" fontId="138" fillId="7" borderId="44" xfId="0" applyFont="1" applyFill="1" applyBorder="1" applyAlignment="1" applyProtection="1">
      <alignment horizontal="center" vertical="center" wrapText="1"/>
      <protection locked="0"/>
    </xf>
    <xf numFmtId="0" fontId="138" fillId="7" borderId="36" xfId="0" applyFont="1" applyFill="1" applyBorder="1" applyAlignment="1" applyProtection="1">
      <alignment horizontal="center" vertical="center" wrapText="1"/>
      <protection locked="0"/>
    </xf>
    <xf numFmtId="0" fontId="138" fillId="7" borderId="34" xfId="0" applyFont="1" applyFill="1" applyBorder="1" applyAlignment="1" applyProtection="1">
      <alignment horizontal="center" vertical="center" wrapText="1"/>
      <protection locked="0"/>
    </xf>
    <xf numFmtId="0" fontId="150" fillId="7" borderId="1" xfId="0" applyFont="1" applyFill="1" applyBorder="1" applyAlignment="1" applyProtection="1">
      <alignment horizontal="center" vertical="center" wrapText="1"/>
      <protection locked="0"/>
    </xf>
    <xf numFmtId="0" fontId="138" fillId="7" borderId="1" xfId="0" applyFont="1" applyFill="1" applyBorder="1" applyAlignment="1" applyProtection="1">
      <alignment horizontal="center" vertical="center" wrapText="1"/>
      <protection locked="0"/>
    </xf>
    <xf numFmtId="0" fontId="138" fillId="7" borderId="26" xfId="0" applyFont="1" applyFill="1" applyBorder="1" applyAlignment="1" applyProtection="1">
      <alignment horizontal="center" vertical="center" wrapText="1"/>
      <protection locked="0"/>
    </xf>
    <xf numFmtId="0" fontId="138" fillId="7" borderId="80" xfId="0" applyFont="1" applyFill="1" applyBorder="1" applyAlignment="1" applyProtection="1">
      <alignment horizontal="left" vertical="center"/>
      <protection locked="0"/>
    </xf>
    <xf numFmtId="0" fontId="138" fillId="7" borderId="23" xfId="0" applyFont="1" applyFill="1" applyBorder="1" applyAlignment="1" applyProtection="1">
      <alignment horizontal="left" vertical="center"/>
      <protection locked="0"/>
    </xf>
    <xf numFmtId="0" fontId="138" fillId="7" borderId="132" xfId="0" applyFont="1" applyFill="1" applyBorder="1" applyAlignment="1" applyProtection="1">
      <alignment horizontal="left"/>
      <protection locked="0"/>
    </xf>
    <xf numFmtId="0" fontId="138" fillId="7" borderId="128" xfId="0" applyFont="1" applyFill="1" applyBorder="1" applyAlignment="1" applyProtection="1">
      <alignment horizontal="left"/>
      <protection locked="0"/>
    </xf>
    <xf numFmtId="0" fontId="138" fillId="7" borderId="10" xfId="0" applyFont="1" applyFill="1" applyBorder="1" applyAlignment="1" applyProtection="1">
      <alignment horizontal="left"/>
      <protection locked="0"/>
    </xf>
    <xf numFmtId="0" fontId="138" fillId="7" borderId="44" xfId="0" applyFont="1" applyFill="1" applyBorder="1" applyAlignment="1" applyProtection="1">
      <alignment horizontal="left"/>
      <protection locked="0"/>
    </xf>
    <xf numFmtId="0" fontId="138" fillId="7" borderId="36" xfId="0" applyFont="1" applyFill="1" applyBorder="1" applyAlignment="1" applyProtection="1">
      <alignment horizontal="left"/>
      <protection locked="0"/>
    </xf>
    <xf numFmtId="0" fontId="138" fillId="7" borderId="34" xfId="0" applyFont="1" applyFill="1" applyBorder="1" applyAlignment="1" applyProtection="1">
      <alignment horizontal="left"/>
      <protection locked="0"/>
    </xf>
    <xf numFmtId="0" fontId="138" fillId="7" borderId="2" xfId="0" applyFont="1" applyFill="1" applyBorder="1" applyAlignment="1" applyProtection="1">
      <alignment horizontal="left"/>
      <protection locked="0"/>
    </xf>
    <xf numFmtId="0" fontId="50" fillId="8" borderId="133" xfId="0" applyFont="1" applyFill="1" applyBorder="1" applyAlignment="1" applyProtection="1">
      <alignment horizontal="center" vertical="center"/>
      <protection locked="0"/>
    </xf>
    <xf numFmtId="0" fontId="66" fillId="8" borderId="133" xfId="0" applyNumberFormat="1" applyFont="1" applyFill="1" applyBorder="1" applyAlignment="1" applyProtection="1">
      <alignment horizontal="center"/>
      <protection locked="0"/>
    </xf>
    <xf numFmtId="0" fontId="66" fillId="8" borderId="13" xfId="0" applyNumberFormat="1" applyFont="1" applyFill="1" applyBorder="1" applyAlignment="1" applyProtection="1">
      <alignment horizontal="center"/>
      <protection locked="0"/>
    </xf>
    <xf numFmtId="0" fontId="66" fillId="8" borderId="134" xfId="0" applyNumberFormat="1" applyFont="1" applyFill="1" applyBorder="1" applyAlignment="1" applyProtection="1">
      <alignment horizontal="center"/>
      <protection locked="0"/>
    </xf>
    <xf numFmtId="0" fontId="150" fillId="8" borderId="133" xfId="0" applyFont="1" applyFill="1" applyBorder="1" applyAlignment="1" applyProtection="1">
      <alignment horizontal="center" vertical="center"/>
      <protection locked="0"/>
    </xf>
    <xf numFmtId="0" fontId="138" fillId="8" borderId="13" xfId="0" applyFont="1" applyFill="1" applyBorder="1" applyAlignment="1" applyProtection="1">
      <alignment horizontal="center" vertical="center"/>
      <protection locked="0"/>
    </xf>
    <xf numFmtId="0" fontId="138" fillId="8" borderId="134" xfId="0" applyFont="1" applyFill="1" applyBorder="1" applyAlignment="1" applyProtection="1">
      <alignment horizontal="center" vertical="center"/>
      <protection locked="0"/>
    </xf>
    <xf numFmtId="0" fontId="66" fillId="8" borderId="133" xfId="0" applyFont="1" applyFill="1" applyBorder="1" applyAlignment="1" applyProtection="1">
      <alignment horizontal="center"/>
      <protection locked="0"/>
    </xf>
    <xf numFmtId="0" fontId="66" fillId="8" borderId="13" xfId="0" applyFont="1" applyFill="1" applyBorder="1" applyAlignment="1" applyProtection="1">
      <alignment horizontal="center"/>
      <protection locked="0"/>
    </xf>
    <xf numFmtId="0" fontId="66" fillId="8" borderId="134" xfId="0" applyFont="1" applyFill="1" applyBorder="1" applyAlignment="1" applyProtection="1">
      <alignment horizontal="center"/>
      <protection locked="0"/>
    </xf>
    <xf numFmtId="182" fontId="158" fillId="9" borderId="135" xfId="0" applyNumberFormat="1" applyFont="1" applyFill="1" applyBorder="1" applyAlignment="1" applyProtection="1">
      <alignment horizontal="center"/>
      <protection locked="0"/>
    </xf>
    <xf numFmtId="182" fontId="158" fillId="9" borderId="136" xfId="0" applyNumberFormat="1" applyFont="1" applyFill="1" applyBorder="1" applyAlignment="1" applyProtection="1">
      <alignment horizontal="center"/>
      <protection locked="0"/>
    </xf>
    <xf numFmtId="182" fontId="158" fillId="9" borderId="45" xfId="0" applyNumberFormat="1" applyFont="1" applyFill="1" applyBorder="1" applyAlignment="1" applyProtection="1">
      <alignment horizontal="center"/>
      <protection locked="0"/>
    </xf>
    <xf numFmtId="182" fontId="158" fillId="9" borderId="132" xfId="0" applyNumberFormat="1" applyFont="1" applyFill="1" applyBorder="1" applyAlignment="1" applyProtection="1">
      <alignment horizontal="center"/>
      <protection locked="0"/>
    </xf>
    <xf numFmtId="182" fontId="158" fillId="9" borderId="128" xfId="0" applyNumberFormat="1" applyFont="1" applyFill="1" applyBorder="1" applyAlignment="1" applyProtection="1">
      <alignment horizontal="center"/>
      <protection locked="0"/>
    </xf>
    <xf numFmtId="182" fontId="158" fillId="9" borderId="10" xfId="0" applyNumberFormat="1" applyFont="1" applyFill="1" applyBorder="1" applyAlignment="1" applyProtection="1">
      <alignment horizontal="center"/>
      <protection locked="0"/>
    </xf>
    <xf numFmtId="182" fontId="158" fillId="9" borderId="80" xfId="0" applyNumberFormat="1" applyFont="1" applyFill="1" applyBorder="1" applyAlignment="1" applyProtection="1">
      <alignment horizontal="center"/>
      <protection locked="0"/>
    </xf>
    <xf numFmtId="182" fontId="158" fillId="9" borderId="25" xfId="0" applyNumberFormat="1" applyFont="1" applyFill="1" applyBorder="1" applyAlignment="1" applyProtection="1">
      <alignment horizontal="center"/>
      <protection locked="0"/>
    </xf>
    <xf numFmtId="182" fontId="158" fillId="9" borderId="23" xfId="0" applyNumberFormat="1" applyFont="1" applyFill="1" applyBorder="1" applyAlignment="1" applyProtection="1">
      <alignment horizontal="center"/>
      <protection locked="0"/>
    </xf>
    <xf numFmtId="49" fontId="47" fillId="7" borderId="5" xfId="6" applyNumberFormat="1" applyFont="1" applyFill="1" applyBorder="1" applyAlignment="1" applyProtection="1">
      <alignment horizontal="center" vertical="center"/>
      <protection locked="0"/>
    </xf>
    <xf numFmtId="49" fontId="47" fillId="7" borderId="7" xfId="6" applyNumberFormat="1" applyFont="1" applyFill="1" applyBorder="1" applyAlignment="1" applyProtection="1">
      <alignment horizontal="center" vertical="center"/>
      <protection locked="0"/>
    </xf>
    <xf numFmtId="178" fontId="166" fillId="7" borderId="2" xfId="230" applyNumberFormat="1" applyFont="1" applyFill="1" applyBorder="1" applyAlignment="1" applyProtection="1">
      <alignment horizontal="center" vertical="center"/>
    </xf>
    <xf numFmtId="178" fontId="166" fillId="7" borderId="4" xfId="230" applyNumberFormat="1" applyFont="1" applyFill="1" applyBorder="1" applyAlignment="1" applyProtection="1">
      <alignment horizontal="center" vertical="center"/>
    </xf>
    <xf numFmtId="0" fontId="63" fillId="8" borderId="2" xfId="6" applyFont="1" applyFill="1" applyBorder="1" applyAlignment="1" applyProtection="1">
      <alignment horizontal="center" vertical="center"/>
      <protection locked="0"/>
    </xf>
    <xf numFmtId="0" fontId="63" fillId="8" borderId="4" xfId="6" applyFont="1" applyFill="1" applyBorder="1" applyAlignment="1" applyProtection="1">
      <alignment horizontal="center" vertical="center"/>
      <protection locked="0"/>
    </xf>
    <xf numFmtId="0" fontId="47" fillId="0" borderId="5" xfId="6" applyFont="1" applyBorder="1" applyAlignment="1" applyProtection="1">
      <alignment horizontal="center" vertical="center"/>
      <protection locked="0"/>
    </xf>
    <xf numFmtId="0" fontId="47" fillId="0" borderId="7" xfId="6" applyFont="1" applyBorder="1" applyAlignment="1" applyProtection="1">
      <alignment horizontal="center" vertical="center"/>
      <protection locked="0"/>
    </xf>
    <xf numFmtId="0" fontId="47" fillId="8" borderId="1" xfId="8" applyFont="1" applyFill="1" applyBorder="1" applyAlignment="1" applyProtection="1">
      <alignment horizontal="center" vertical="center" wrapText="1"/>
      <protection locked="0"/>
    </xf>
    <xf numFmtId="49" fontId="47" fillId="7" borderId="6" xfId="6" applyNumberFormat="1" applyFont="1" applyFill="1" applyBorder="1" applyAlignment="1" applyProtection="1">
      <alignment horizontal="center" vertical="center"/>
      <protection locked="0"/>
    </xf>
    <xf numFmtId="49" fontId="47" fillId="7" borderId="5" xfId="6" applyNumberFormat="1" applyFont="1" applyFill="1" applyBorder="1" applyAlignment="1" applyProtection="1">
      <alignment horizontal="center" vertical="center" wrapText="1"/>
      <protection locked="0"/>
    </xf>
    <xf numFmtId="49" fontId="47" fillId="7" borderId="7" xfId="6" applyNumberFormat="1" applyFont="1" applyFill="1" applyBorder="1" applyAlignment="1" applyProtection="1">
      <alignment horizontal="center" vertical="center" wrapText="1"/>
      <protection locked="0"/>
    </xf>
    <xf numFmtId="2" fontId="47" fillId="0" borderId="2" xfId="9" applyNumberFormat="1" applyFont="1" applyBorder="1" applyAlignment="1" applyProtection="1">
      <alignment horizontal="center" vertical="center"/>
    </xf>
    <xf numFmtId="2" fontId="47" fillId="0" borderId="4" xfId="9" applyNumberFormat="1" applyFont="1" applyBorder="1" applyAlignment="1" applyProtection="1">
      <alignment horizontal="center" vertical="center"/>
    </xf>
    <xf numFmtId="0" fontId="169" fillId="8" borderId="5" xfId="8" applyFont="1" applyFill="1" applyBorder="1" applyAlignment="1" applyProtection="1">
      <alignment horizontal="center" vertical="center" wrapText="1"/>
      <protection locked="0"/>
    </xf>
    <xf numFmtId="0" fontId="169" fillId="8" borderId="7" xfId="8" applyFont="1" applyFill="1" applyBorder="1" applyAlignment="1" applyProtection="1">
      <alignment horizontal="center" vertical="center" wrapText="1"/>
      <protection locked="0"/>
    </xf>
    <xf numFmtId="0" fontId="169" fillId="0" borderId="0" xfId="9" applyFont="1" applyBorder="1" applyAlignment="1" applyProtection="1">
      <alignment horizontal="left" vertical="center" wrapText="1"/>
    </xf>
    <xf numFmtId="2" fontId="47" fillId="0" borderId="2" xfId="6" applyNumberFormat="1" applyFont="1" applyBorder="1" applyAlignment="1" applyProtection="1">
      <alignment horizontal="center" vertical="center"/>
    </xf>
    <xf numFmtId="2" fontId="47" fillId="0" borderId="4" xfId="6" applyNumberFormat="1" applyFont="1" applyBorder="1" applyAlignment="1" applyProtection="1">
      <alignment horizontal="center" vertical="center"/>
    </xf>
    <xf numFmtId="0" fontId="57" fillId="0" borderId="118" xfId="9" applyFont="1" applyBorder="1" applyAlignment="1" applyProtection="1">
      <alignment horizontal="center" vertical="center" wrapText="1"/>
      <protection locked="0"/>
    </xf>
    <xf numFmtId="180" fontId="47" fillId="8" borderId="1" xfId="6" applyNumberFormat="1" applyFont="1" applyFill="1" applyBorder="1" applyAlignment="1" applyProtection="1">
      <alignment horizontal="center" vertical="center" wrapText="1"/>
      <protection locked="0"/>
    </xf>
    <xf numFmtId="0" fontId="138" fillId="9" borderId="2" xfId="593" applyFont="1" applyFill="1" applyBorder="1" applyAlignment="1" applyProtection="1">
      <alignment horizontal="center" vertical="center"/>
      <protection locked="0"/>
    </xf>
    <xf numFmtId="0" fontId="138" fillId="9" borderId="4" xfId="593" applyFont="1" applyFill="1" applyBorder="1" applyAlignment="1" applyProtection="1">
      <alignment horizontal="center" vertical="center"/>
      <protection locked="0"/>
    </xf>
    <xf numFmtId="0" fontId="48" fillId="9" borderId="2" xfId="230" applyNumberFormat="1" applyFont="1" applyFill="1" applyBorder="1" applyAlignment="1" applyProtection="1">
      <alignment horizontal="center" vertical="center"/>
      <protection locked="0"/>
    </xf>
    <xf numFmtId="0" fontId="48" fillId="9" borderId="4" xfId="230" applyNumberFormat="1" applyFont="1" applyFill="1" applyBorder="1" applyAlignment="1" applyProtection="1">
      <alignment horizontal="center" vertical="center"/>
      <protection locked="0"/>
    </xf>
    <xf numFmtId="0" fontId="13" fillId="8" borderId="132" xfId="593" applyFont="1" applyFill="1" applyBorder="1" applyAlignment="1" applyProtection="1">
      <alignment horizontal="center" vertical="center" wrapText="1"/>
      <protection locked="0"/>
    </xf>
    <xf numFmtId="0" fontId="13" fillId="8" borderId="10" xfId="593" applyFont="1" applyFill="1" applyBorder="1" applyAlignment="1" applyProtection="1">
      <alignment horizontal="center" vertical="center" wrapText="1"/>
      <protection locked="0"/>
    </xf>
    <xf numFmtId="0" fontId="13" fillId="8" borderId="8" xfId="593" applyFont="1" applyFill="1" applyBorder="1" applyAlignment="1" applyProtection="1">
      <alignment horizontal="center" vertical="center" wrapText="1"/>
      <protection locked="0"/>
    </xf>
    <xf numFmtId="0" fontId="13" fillId="8" borderId="9" xfId="593" applyFont="1" applyFill="1" applyBorder="1" applyAlignment="1" applyProtection="1">
      <alignment horizontal="center" vertical="center" wrapText="1"/>
      <protection locked="0"/>
    </xf>
    <xf numFmtId="184" fontId="48" fillId="9" borderId="2" xfId="0" applyNumberFormat="1" applyFont="1" applyFill="1" applyBorder="1" applyAlignment="1" applyProtection="1">
      <alignment horizontal="center" vertical="center"/>
      <protection locked="0"/>
    </xf>
    <xf numFmtId="184" fontId="48" fillId="9" borderId="4" xfId="0" applyNumberFormat="1" applyFont="1" applyFill="1" applyBorder="1" applyAlignment="1" applyProtection="1">
      <alignment horizontal="center" vertical="center"/>
      <protection locked="0"/>
    </xf>
    <xf numFmtId="0" fontId="150" fillId="8" borderId="132" xfId="593" applyFont="1" applyFill="1" applyBorder="1" applyAlignment="1" applyProtection="1">
      <alignment horizontal="center" vertical="center"/>
      <protection locked="0"/>
    </xf>
    <xf numFmtId="0" fontId="150" fillId="8" borderId="10" xfId="593" applyFont="1" applyFill="1" applyBorder="1" applyAlignment="1" applyProtection="1">
      <alignment horizontal="center" vertical="center"/>
      <protection locked="0"/>
    </xf>
    <xf numFmtId="0" fontId="150" fillId="8" borderId="8" xfId="593" applyFont="1" applyFill="1" applyBorder="1" applyAlignment="1" applyProtection="1">
      <alignment horizontal="center" vertical="center"/>
      <protection locked="0"/>
    </xf>
    <xf numFmtId="0" fontId="150" fillId="8" borderId="9" xfId="593" applyFont="1" applyFill="1" applyBorder="1" applyAlignment="1" applyProtection="1">
      <alignment horizontal="center" vertical="center"/>
      <protection locked="0"/>
    </xf>
    <xf numFmtId="0" fontId="138" fillId="8" borderId="5" xfId="593" applyFont="1" applyFill="1" applyBorder="1" applyAlignment="1" applyProtection="1">
      <alignment horizontal="center" vertical="center"/>
      <protection locked="0"/>
    </xf>
    <xf numFmtId="0" fontId="138" fillId="8" borderId="7" xfId="593" applyFont="1" applyFill="1" applyBorder="1" applyAlignment="1" applyProtection="1">
      <alignment horizontal="center" vertical="center"/>
      <protection locked="0"/>
    </xf>
    <xf numFmtId="0" fontId="13" fillId="8" borderId="1" xfId="593" applyFont="1" applyFill="1" applyBorder="1" applyAlignment="1" applyProtection="1">
      <alignment horizontal="center" vertical="center" wrapText="1"/>
      <protection locked="0"/>
    </xf>
    <xf numFmtId="0" fontId="48" fillId="8" borderId="1" xfId="593" applyFont="1" applyFill="1" applyBorder="1" applyAlignment="1" applyProtection="1">
      <alignment horizontal="center" vertical="center" wrapText="1"/>
      <protection locked="0"/>
    </xf>
    <xf numFmtId="0" fontId="48" fillId="9" borderId="1" xfId="230" applyNumberFormat="1" applyFont="1" applyFill="1" applyBorder="1" applyAlignment="1" applyProtection="1">
      <alignment horizontal="center" vertical="center"/>
      <protection locked="0"/>
    </xf>
    <xf numFmtId="0" fontId="13" fillId="8" borderId="2" xfId="593" applyFont="1" applyFill="1" applyBorder="1" applyAlignment="1" applyProtection="1">
      <alignment horizontal="center" vertical="center" wrapText="1"/>
      <protection locked="0"/>
    </xf>
    <xf numFmtId="0" fontId="13" fillId="8" borderId="3" xfId="593" applyFont="1" applyFill="1" applyBorder="1" applyAlignment="1" applyProtection="1">
      <alignment horizontal="center" vertical="center" wrapText="1"/>
      <protection locked="0"/>
    </xf>
    <xf numFmtId="0" fontId="48" fillId="8" borderId="2" xfId="593" applyFont="1" applyFill="1" applyBorder="1" applyAlignment="1" applyProtection="1">
      <alignment horizontal="center" vertical="center" wrapText="1"/>
      <protection locked="0"/>
    </xf>
    <xf numFmtId="0" fontId="48" fillId="8" borderId="4" xfId="593" applyFont="1" applyFill="1" applyBorder="1" applyAlignment="1" applyProtection="1">
      <alignment horizontal="center" vertical="center" wrapText="1"/>
      <protection locked="0"/>
    </xf>
    <xf numFmtId="0" fontId="48" fillId="8" borderId="1" xfId="0" applyFont="1" applyFill="1" applyBorder="1" applyAlignment="1" applyProtection="1">
      <alignment horizontal="center" vertical="center" wrapText="1"/>
      <protection locked="0"/>
    </xf>
    <xf numFmtId="0" fontId="48" fillId="8" borderId="5" xfId="593" applyFont="1" applyFill="1" applyBorder="1" applyAlignment="1" applyProtection="1">
      <alignment horizontal="center" vertical="center" wrapText="1"/>
      <protection locked="0"/>
    </xf>
    <xf numFmtId="0" fontId="48" fillId="8" borderId="7" xfId="593" applyFont="1" applyFill="1" applyBorder="1" applyAlignment="1" applyProtection="1">
      <alignment horizontal="center" vertical="center" wrapText="1"/>
      <protection locked="0"/>
    </xf>
    <xf numFmtId="0" fontId="48" fillId="8" borderId="5" xfId="0" applyFont="1" applyFill="1" applyBorder="1" applyAlignment="1" applyProtection="1">
      <alignment horizontal="center" vertical="center" wrapText="1"/>
      <protection locked="0"/>
    </xf>
    <xf numFmtId="0" fontId="48" fillId="8" borderId="7" xfId="0" applyFont="1" applyFill="1" applyBorder="1" applyAlignment="1" applyProtection="1">
      <alignment horizontal="center" vertical="center" wrapText="1"/>
      <protection locked="0"/>
    </xf>
    <xf numFmtId="0" fontId="13" fillId="8" borderId="5" xfId="593" applyFont="1" applyFill="1" applyBorder="1" applyAlignment="1" applyProtection="1">
      <alignment horizontal="center" vertical="center" wrapText="1"/>
      <protection locked="0"/>
    </xf>
    <xf numFmtId="0" fontId="138" fillId="0" borderId="5" xfId="0" applyFont="1" applyBorder="1" applyAlignment="1" applyProtection="1">
      <alignment horizontal="center" vertical="center" wrapText="1"/>
      <protection locked="0"/>
    </xf>
    <xf numFmtId="0" fontId="138" fillId="0" borderId="6" xfId="0" applyFont="1" applyBorder="1" applyAlignment="1" applyProtection="1">
      <alignment horizontal="center" vertical="center" wrapText="1"/>
      <protection locked="0"/>
    </xf>
    <xf numFmtId="0" fontId="138" fillId="0" borderId="7" xfId="0" applyFont="1" applyBorder="1" applyAlignment="1" applyProtection="1">
      <alignment horizontal="center" vertical="center" wrapText="1"/>
      <protection locked="0"/>
    </xf>
    <xf numFmtId="0" fontId="138" fillId="7" borderId="5" xfId="0" applyFont="1" applyFill="1" applyBorder="1" applyAlignment="1" applyProtection="1">
      <alignment horizontal="center" vertical="center"/>
    </xf>
    <xf numFmtId="0" fontId="138" fillId="7" borderId="6" xfId="0" applyFont="1" applyFill="1" applyBorder="1" applyAlignment="1" applyProtection="1">
      <alignment horizontal="center" vertical="center"/>
    </xf>
    <xf numFmtId="0" fontId="138" fillId="7" borderId="7" xfId="0" applyFont="1" applyFill="1" applyBorder="1" applyAlignment="1" applyProtection="1">
      <alignment horizontal="center" vertical="center"/>
    </xf>
    <xf numFmtId="0" fontId="138" fillId="0" borderId="1" xfId="0" applyFont="1" applyBorder="1" applyAlignment="1" applyProtection="1">
      <alignment horizontal="center" vertical="center" wrapText="1"/>
      <protection locked="0"/>
    </xf>
    <xf numFmtId="187" fontId="138" fillId="7" borderId="1" xfId="0" applyNumberFormat="1" applyFont="1" applyFill="1" applyBorder="1" applyAlignment="1" applyProtection="1">
      <alignment horizontal="center" vertical="center"/>
    </xf>
    <xf numFmtId="0" fontId="13" fillId="8" borderId="4" xfId="593" applyFont="1" applyFill="1" applyBorder="1" applyAlignment="1" applyProtection="1">
      <alignment horizontal="center" vertical="center" wrapText="1"/>
      <protection locked="0"/>
    </xf>
    <xf numFmtId="0" fontId="47" fillId="0" borderId="2" xfId="6" applyFont="1" applyBorder="1" applyAlignment="1" applyProtection="1">
      <alignment horizontal="left"/>
      <protection locked="0"/>
    </xf>
    <xf numFmtId="0" fontId="47" fillId="0" borderId="4" xfId="6" applyFont="1" applyBorder="1" applyAlignment="1" applyProtection="1">
      <alignment horizontal="left"/>
      <protection locked="0"/>
    </xf>
    <xf numFmtId="0" fontId="57" fillId="8" borderId="1" xfId="9" applyFont="1" applyFill="1" applyBorder="1" applyAlignment="1" applyProtection="1">
      <alignment horizontal="center" vertical="center" wrapText="1"/>
      <protection locked="0"/>
    </xf>
    <xf numFmtId="0" fontId="157" fillId="7" borderId="2" xfId="0" applyFont="1" applyFill="1" applyBorder="1" applyAlignment="1">
      <alignment horizontal="left"/>
    </xf>
    <xf numFmtId="0" fontId="157" fillId="7" borderId="4" xfId="0" applyFont="1" applyFill="1" applyBorder="1" applyAlignment="1">
      <alignment horizontal="left"/>
    </xf>
    <xf numFmtId="0" fontId="17" fillId="7" borderId="2" xfId="6" applyFont="1" applyFill="1" applyBorder="1" applyAlignment="1" applyProtection="1">
      <alignment horizontal="left" vertical="center"/>
      <protection locked="0"/>
    </xf>
    <xf numFmtId="0" fontId="47" fillId="7" borderId="4" xfId="6" applyFont="1" applyFill="1" applyBorder="1" applyAlignment="1" applyProtection="1">
      <alignment horizontal="left" vertical="center"/>
      <protection locked="0"/>
    </xf>
    <xf numFmtId="0" fontId="47" fillId="7" borderId="2" xfId="6" applyFont="1" applyFill="1" applyBorder="1" applyAlignment="1" applyProtection="1">
      <alignment horizontal="left" vertical="center" wrapText="1"/>
      <protection locked="0"/>
    </xf>
    <xf numFmtId="0" fontId="47" fillId="7" borderId="4" xfId="6" applyFont="1" applyFill="1" applyBorder="1" applyAlignment="1" applyProtection="1">
      <alignment horizontal="left" vertical="center" wrapText="1"/>
      <protection locked="0"/>
    </xf>
    <xf numFmtId="0" fontId="158" fillId="7" borderId="2" xfId="0" applyFont="1" applyFill="1" applyBorder="1" applyAlignment="1">
      <alignment horizontal="left"/>
    </xf>
    <xf numFmtId="0" fontId="158" fillId="7" borderId="4" xfId="0" applyFont="1" applyFill="1" applyBorder="1" applyAlignment="1">
      <alignment horizontal="left"/>
    </xf>
    <xf numFmtId="0" fontId="13" fillId="8" borderId="1" xfId="6" applyFont="1" applyFill="1" applyBorder="1" applyAlignment="1" applyProtection="1">
      <alignment horizontal="center" vertical="center"/>
      <protection locked="0"/>
    </xf>
    <xf numFmtId="0" fontId="48" fillId="8" borderId="1" xfId="6" applyFont="1" applyFill="1" applyBorder="1" applyAlignment="1" applyProtection="1">
      <alignment horizontal="center" vertical="center"/>
      <protection locked="0"/>
    </xf>
    <xf numFmtId="0" fontId="13" fillId="8" borderId="30" xfId="6" applyFont="1" applyFill="1" applyBorder="1" applyAlignment="1" applyProtection="1">
      <alignment horizontal="center" vertical="center" wrapText="1"/>
      <protection locked="0"/>
    </xf>
    <xf numFmtId="0" fontId="13" fillId="8" borderId="130" xfId="6" applyFont="1" applyFill="1" applyBorder="1" applyAlignment="1" applyProtection="1">
      <alignment horizontal="center" vertical="center" wrapText="1"/>
      <protection locked="0"/>
    </xf>
    <xf numFmtId="0" fontId="13" fillId="8" borderId="27" xfId="6" applyFont="1" applyFill="1" applyBorder="1" applyAlignment="1" applyProtection="1">
      <alignment horizontal="center" vertical="center" wrapText="1"/>
      <protection locked="0"/>
    </xf>
    <xf numFmtId="0" fontId="13" fillId="8" borderId="131" xfId="6" applyFont="1" applyFill="1" applyBorder="1" applyAlignment="1" applyProtection="1">
      <alignment horizontal="center" vertical="center" wrapText="1"/>
      <protection locked="0"/>
    </xf>
    <xf numFmtId="0" fontId="47" fillId="0" borderId="0" xfId="1" applyFont="1" applyAlignment="1" applyProtection="1">
      <alignment horizontal="center" vertical="center"/>
      <protection locked="0"/>
    </xf>
    <xf numFmtId="182" fontId="138" fillId="0" borderId="0" xfId="1" applyNumberFormat="1" applyFont="1" applyAlignment="1" applyProtection="1">
      <alignment horizontal="center" vertical="center"/>
    </xf>
    <xf numFmtId="0" fontId="48" fillId="8" borderId="1" xfId="1" applyFont="1" applyFill="1" applyBorder="1" applyAlignment="1" applyProtection="1">
      <alignment horizontal="center" vertical="center"/>
      <protection locked="0"/>
    </xf>
    <xf numFmtId="176" fontId="57" fillId="0" borderId="0" xfId="1" applyNumberFormat="1" applyFont="1" applyBorder="1" applyAlignment="1" applyProtection="1">
      <alignment horizontal="center" vertical="center"/>
    </xf>
    <xf numFmtId="0" fontId="48" fillId="0" borderId="1" xfId="4" applyFont="1" applyFill="1" applyBorder="1" applyAlignment="1" applyProtection="1">
      <alignment horizontal="center" vertical="center" wrapText="1"/>
      <protection locked="0"/>
    </xf>
    <xf numFmtId="0" fontId="48" fillId="0" borderId="5" xfId="3" applyFont="1" applyBorder="1" applyAlignment="1" applyProtection="1">
      <alignment horizontal="center" vertical="center"/>
      <protection locked="0"/>
    </xf>
    <xf numFmtId="0" fontId="48" fillId="0" borderId="6" xfId="3" applyFont="1" applyBorder="1" applyAlignment="1" applyProtection="1">
      <alignment horizontal="center" vertical="center"/>
      <protection locked="0"/>
    </xf>
    <xf numFmtId="0" fontId="48" fillId="0" borderId="7" xfId="3" applyFont="1" applyBorder="1" applyAlignment="1" applyProtection="1">
      <alignment horizontal="center" vertical="center"/>
      <protection locked="0"/>
    </xf>
    <xf numFmtId="0" fontId="48" fillId="0" borderId="5" xfId="4" applyFont="1" applyFill="1" applyBorder="1" applyAlignment="1" applyProtection="1">
      <alignment horizontal="center" vertical="center"/>
      <protection locked="0"/>
    </xf>
    <xf numFmtId="0" fontId="48" fillId="0" borderId="6" xfId="4" applyFont="1" applyFill="1" applyBorder="1" applyAlignment="1" applyProtection="1">
      <alignment horizontal="center" vertical="center"/>
      <protection locked="0"/>
    </xf>
    <xf numFmtId="0" fontId="48" fillId="0" borderId="7" xfId="4" applyFont="1" applyFill="1" applyBorder="1" applyAlignment="1" applyProtection="1">
      <alignment horizontal="center" vertical="center"/>
      <protection locked="0"/>
    </xf>
    <xf numFmtId="0" fontId="48" fillId="0" borderId="5" xfId="4" applyFont="1" applyFill="1" applyBorder="1" applyAlignment="1" applyProtection="1">
      <alignment horizontal="center" vertical="center" wrapText="1"/>
      <protection locked="0"/>
    </xf>
    <xf numFmtId="0" fontId="48" fillId="0" borderId="6" xfId="4" applyFont="1" applyFill="1" applyBorder="1" applyAlignment="1" applyProtection="1">
      <alignment horizontal="center" vertical="center" wrapText="1"/>
      <protection locked="0"/>
    </xf>
    <xf numFmtId="0" fontId="48" fillId="0" borderId="7" xfId="4" applyFont="1" applyFill="1" applyBorder="1" applyAlignment="1" applyProtection="1">
      <alignment horizontal="center" vertical="center" wrapText="1"/>
      <protection locked="0"/>
    </xf>
    <xf numFmtId="0" fontId="48" fillId="0" borderId="5" xfId="0" applyFont="1" applyBorder="1" applyAlignment="1" applyProtection="1">
      <alignment horizontal="left" vertical="center"/>
      <protection locked="0"/>
    </xf>
    <xf numFmtId="0" fontId="48" fillId="0" borderId="6" xfId="0" applyFont="1" applyBorder="1" applyAlignment="1" applyProtection="1">
      <alignment horizontal="left" vertical="center"/>
      <protection locked="0"/>
    </xf>
    <xf numFmtId="0" fontId="48" fillId="0" borderId="7" xfId="0" applyFont="1" applyBorder="1" applyAlignment="1" applyProtection="1">
      <alignment horizontal="left" vertical="center"/>
      <protection locked="0"/>
    </xf>
    <xf numFmtId="179" fontId="138" fillId="7" borderId="5" xfId="0" applyNumberFormat="1" applyFont="1" applyFill="1" applyBorder="1" applyAlignment="1" applyProtection="1">
      <alignment horizontal="center" vertical="center"/>
    </xf>
    <xf numFmtId="179" fontId="138" fillId="7" borderId="7" xfId="0" applyNumberFormat="1" applyFont="1" applyFill="1" applyBorder="1" applyAlignment="1" applyProtection="1">
      <alignment horizontal="center" vertical="center"/>
    </xf>
    <xf numFmtId="0" fontId="138" fillId="7" borderId="2" xfId="0" applyFont="1" applyFill="1" applyBorder="1" applyAlignment="1" applyProtection="1">
      <alignment horizontal="center"/>
      <protection locked="0"/>
    </xf>
    <xf numFmtId="0" fontId="138" fillId="7" borderId="3" xfId="0" applyFont="1" applyFill="1" applyBorder="1" applyAlignment="1" applyProtection="1">
      <alignment horizontal="center"/>
      <protection locked="0"/>
    </xf>
    <xf numFmtId="0" fontId="138" fillId="7" borderId="4" xfId="0" applyFont="1" applyFill="1" applyBorder="1" applyAlignment="1" applyProtection="1">
      <alignment horizontal="center"/>
      <protection locked="0"/>
    </xf>
    <xf numFmtId="182" fontId="138" fillId="7" borderId="5" xfId="0" applyNumberFormat="1" applyFont="1" applyFill="1" applyBorder="1" applyAlignment="1" applyProtection="1">
      <alignment horizontal="center" vertical="center"/>
    </xf>
    <xf numFmtId="182" fontId="138" fillId="7" borderId="7" xfId="0" applyNumberFormat="1" applyFont="1" applyFill="1" applyBorder="1" applyAlignment="1" applyProtection="1">
      <alignment horizontal="center" vertical="center"/>
    </xf>
    <xf numFmtId="0" fontId="48" fillId="0" borderId="1" xfId="0" applyFont="1" applyBorder="1" applyAlignment="1" applyProtection="1">
      <alignment horizontal="left" vertical="center"/>
      <protection locked="0"/>
    </xf>
    <xf numFmtId="0" fontId="13" fillId="0" borderId="1" xfId="0" applyFont="1" applyBorder="1" applyAlignment="1" applyProtection="1">
      <alignment horizontal="left"/>
      <protection locked="0"/>
    </xf>
    <xf numFmtId="0" fontId="48" fillId="0" borderId="1" xfId="0" applyFont="1" applyBorder="1" applyAlignment="1" applyProtection="1">
      <alignment horizontal="left"/>
      <protection locked="0"/>
    </xf>
    <xf numFmtId="0" fontId="48" fillId="0" borderId="2" xfId="0" applyFont="1" applyBorder="1" applyAlignment="1" applyProtection="1">
      <alignment horizontal="left"/>
      <protection locked="0"/>
    </xf>
    <xf numFmtId="0" fontId="48" fillId="0" borderId="4" xfId="0" applyFont="1" applyBorder="1" applyAlignment="1" applyProtection="1">
      <alignment horizontal="left"/>
      <protection locked="0"/>
    </xf>
    <xf numFmtId="0" fontId="54" fillId="8" borderId="2" xfId="0" applyFont="1" applyFill="1" applyBorder="1" applyAlignment="1" applyProtection="1">
      <alignment horizontal="center" vertical="center"/>
      <protection locked="0"/>
    </xf>
    <xf numFmtId="0" fontId="54" fillId="8" borderId="4" xfId="0" applyFont="1" applyFill="1" applyBorder="1" applyAlignment="1" applyProtection="1">
      <alignment horizontal="center" vertical="center"/>
      <protection locked="0"/>
    </xf>
    <xf numFmtId="0" fontId="56" fillId="7" borderId="1" xfId="0" applyFont="1" applyFill="1" applyBorder="1" applyAlignment="1" applyProtection="1">
      <alignment horizontal="left" vertical="center"/>
    </xf>
    <xf numFmtId="0" fontId="56" fillId="7" borderId="2" xfId="0" applyFont="1" applyFill="1" applyBorder="1" applyAlignment="1" applyProtection="1">
      <alignment horizontal="left" vertical="center"/>
    </xf>
    <xf numFmtId="0" fontId="56" fillId="7" borderId="3" xfId="0" applyFont="1" applyFill="1" applyBorder="1" applyAlignment="1" applyProtection="1">
      <alignment horizontal="left" vertical="center"/>
    </xf>
    <xf numFmtId="0" fontId="56" fillId="7" borderId="4" xfId="0" applyFont="1" applyFill="1" applyBorder="1" applyAlignment="1" applyProtection="1">
      <alignment horizontal="left" vertical="center"/>
    </xf>
    <xf numFmtId="0" fontId="176" fillId="7" borderId="0" xfId="0" applyFont="1" applyFill="1" applyAlignment="1" applyProtection="1">
      <alignment horizontal="center"/>
      <protection locked="0"/>
    </xf>
    <xf numFmtId="0" fontId="56" fillId="8" borderId="2" xfId="0" applyFont="1" applyFill="1" applyBorder="1" applyAlignment="1" applyProtection="1">
      <alignment horizontal="center" vertical="center"/>
      <protection locked="0"/>
    </xf>
    <xf numFmtId="0" fontId="56" fillId="8" borderId="3" xfId="0" applyFont="1" applyFill="1" applyBorder="1" applyAlignment="1" applyProtection="1">
      <alignment horizontal="center" vertical="center"/>
      <protection locked="0"/>
    </xf>
    <xf numFmtId="0" fontId="56" fillId="8" borderId="4" xfId="0" applyFont="1" applyFill="1" applyBorder="1" applyAlignment="1" applyProtection="1">
      <alignment horizontal="center" vertical="center"/>
      <protection locked="0"/>
    </xf>
    <xf numFmtId="0" fontId="48" fillId="0" borderId="1" xfId="619" applyFont="1" applyFill="1" applyBorder="1" applyAlignment="1">
      <alignment horizontal="center" vertical="center" wrapText="1"/>
    </xf>
    <xf numFmtId="0" fontId="48" fillId="8" borderId="2" xfId="619" applyFont="1" applyFill="1" applyBorder="1" applyAlignment="1">
      <alignment horizontal="center" vertical="center" wrapText="1"/>
    </xf>
    <xf numFmtId="0" fontId="48" fillId="8" borderId="4" xfId="619" applyFont="1" applyFill="1" applyBorder="1" applyAlignment="1">
      <alignment horizontal="center" vertical="center" wrapText="1"/>
    </xf>
    <xf numFmtId="0" fontId="48" fillId="8" borderId="1" xfId="619" applyFont="1" applyFill="1" applyBorder="1" applyAlignment="1">
      <alignment horizontal="center" vertical="center" wrapText="1"/>
    </xf>
    <xf numFmtId="0" fontId="138" fillId="8" borderId="1" xfId="0" applyFont="1" applyFill="1" applyBorder="1" applyAlignment="1">
      <alignment vertical="center"/>
    </xf>
    <xf numFmtId="0" fontId="138" fillId="8" borderId="1" xfId="619" applyFont="1" applyFill="1" applyBorder="1" applyAlignment="1">
      <alignment horizontal="center" vertical="center" wrapText="1"/>
    </xf>
    <xf numFmtId="0" fontId="138" fillId="8" borderId="1" xfId="592" applyFont="1" applyFill="1" applyBorder="1" applyAlignment="1">
      <alignment horizontal="center" vertical="center" wrapText="1"/>
    </xf>
    <xf numFmtId="0" fontId="48" fillId="8" borderId="42" xfId="236" applyNumberFormat="1" applyFont="1" applyFill="1" applyBorder="1" applyAlignment="1" applyProtection="1">
      <alignment horizontal="center" vertical="center"/>
      <protection locked="0"/>
    </xf>
    <xf numFmtId="0" fontId="48" fillId="8" borderId="39" xfId="236" applyNumberFormat="1" applyFont="1" applyFill="1" applyBorder="1" applyAlignment="1" applyProtection="1">
      <alignment horizontal="center" vertical="center"/>
      <protection locked="0"/>
    </xf>
    <xf numFmtId="179" fontId="70" fillId="7" borderId="18" xfId="236" applyNumberFormat="1" applyFont="1" applyFill="1" applyBorder="1" applyAlignment="1" applyProtection="1">
      <alignment horizontal="right" vertical="center"/>
      <protection locked="0"/>
    </xf>
    <xf numFmtId="179" fontId="70" fillId="7" borderId="17" xfId="236" applyNumberFormat="1" applyFont="1" applyFill="1" applyBorder="1" applyAlignment="1" applyProtection="1">
      <alignment horizontal="right" vertical="center"/>
      <protection locked="0"/>
    </xf>
    <xf numFmtId="0" fontId="71" fillId="8" borderId="49" xfId="236" applyNumberFormat="1" applyFont="1" applyFill="1" applyBorder="1" applyAlignment="1" applyProtection="1">
      <alignment horizontal="center" vertical="center"/>
      <protection locked="0"/>
    </xf>
    <xf numFmtId="0" fontId="71" fillId="8" borderId="48" xfId="236" applyNumberFormat="1" applyFont="1" applyFill="1" applyBorder="1" applyAlignment="1" applyProtection="1">
      <alignment horizontal="center" vertical="center"/>
      <protection locked="0"/>
    </xf>
    <xf numFmtId="0" fontId="71" fillId="8" borderId="47" xfId="236" applyNumberFormat="1" applyFont="1" applyFill="1" applyBorder="1" applyAlignment="1" applyProtection="1">
      <alignment horizontal="center" vertical="center"/>
      <protection locked="0"/>
    </xf>
    <xf numFmtId="0" fontId="48" fillId="8" borderId="43" xfId="236" applyNumberFormat="1" applyFont="1" applyFill="1" applyBorder="1" applyAlignment="1" applyProtection="1">
      <alignment horizontal="center" vertical="center"/>
      <protection locked="0"/>
    </xf>
    <xf numFmtId="0" fontId="48" fillId="8" borderId="6" xfId="236" applyNumberFormat="1" applyFont="1" applyFill="1" applyBorder="1" applyAlignment="1" applyProtection="1">
      <alignment horizontal="center" vertical="center"/>
      <protection locked="0"/>
    </xf>
    <xf numFmtId="0" fontId="48" fillId="8" borderId="46" xfId="236" applyNumberFormat="1" applyFont="1" applyFill="1" applyBorder="1" applyAlignment="1" applyProtection="1">
      <alignment horizontal="center" vertical="center"/>
      <protection locked="0"/>
    </xf>
    <xf numFmtId="0" fontId="48" fillId="8" borderId="41" xfId="236" applyNumberFormat="1" applyFont="1" applyFill="1" applyBorder="1" applyAlignment="1" applyProtection="1">
      <alignment horizontal="center" vertical="center"/>
      <protection locked="0"/>
    </xf>
    <xf numFmtId="0" fontId="48" fillId="8" borderId="45" xfId="236" applyNumberFormat="1" applyFont="1" applyFill="1" applyBorder="1" applyAlignment="1" applyProtection="1">
      <alignment horizontal="center" vertical="center" wrapText="1"/>
      <protection locked="0"/>
    </xf>
    <xf numFmtId="0" fontId="48" fillId="8" borderId="11" xfId="236" applyNumberFormat="1" applyFont="1" applyFill="1" applyBorder="1" applyAlignment="1" applyProtection="1">
      <alignment horizontal="center" vertical="center"/>
      <protection locked="0"/>
    </xf>
    <xf numFmtId="0" fontId="48" fillId="8" borderId="43" xfId="236" applyNumberFormat="1" applyFont="1" applyFill="1" applyBorder="1" applyAlignment="1" applyProtection="1">
      <alignment horizontal="center" vertical="center" wrapText="1"/>
      <protection locked="0"/>
    </xf>
    <xf numFmtId="0" fontId="48" fillId="8" borderId="6" xfId="236" applyNumberFormat="1" applyFont="1" applyFill="1" applyBorder="1" applyAlignment="1" applyProtection="1">
      <alignment horizontal="center" vertical="center" wrapText="1"/>
      <protection locked="0"/>
    </xf>
    <xf numFmtId="0" fontId="70" fillId="8" borderId="44" xfId="236" applyNumberFormat="1" applyFont="1" applyFill="1" applyBorder="1" applyAlignment="1" applyProtection="1">
      <alignment horizontal="center" vertical="center"/>
      <protection locked="0"/>
    </xf>
    <xf numFmtId="0" fontId="70" fillId="8" borderId="36" xfId="236" applyNumberFormat="1" applyFont="1" applyFill="1" applyBorder="1" applyAlignment="1" applyProtection="1">
      <alignment horizontal="center" vertical="center"/>
      <protection locked="0"/>
    </xf>
    <xf numFmtId="0" fontId="70" fillId="8" borderId="34" xfId="236" applyNumberFormat="1" applyFont="1" applyFill="1" applyBorder="1" applyAlignment="1" applyProtection="1">
      <alignment horizontal="center" vertical="center"/>
      <protection locked="0"/>
    </xf>
    <xf numFmtId="179" fontId="70" fillId="7" borderId="56" xfId="236" applyNumberFormat="1" applyFont="1" applyFill="1" applyBorder="1" applyAlignment="1" applyProtection="1">
      <alignment horizontal="right" vertical="center"/>
      <protection locked="0"/>
    </xf>
    <xf numFmtId="179" fontId="70" fillId="7" borderId="55" xfId="236" applyNumberFormat="1" applyFont="1" applyFill="1" applyBorder="1" applyAlignment="1" applyProtection="1">
      <alignment horizontal="right" vertical="center"/>
      <protection locked="0"/>
    </xf>
    <xf numFmtId="0" fontId="71" fillId="8" borderId="79" xfId="236" applyNumberFormat="1" applyFont="1" applyFill="1" applyBorder="1" applyAlignment="1" applyProtection="1">
      <alignment horizontal="center" vertical="center"/>
      <protection locked="0"/>
    </xf>
    <xf numFmtId="0" fontId="71" fillId="8" borderId="78" xfId="236" applyNumberFormat="1" applyFont="1" applyFill="1" applyBorder="1" applyAlignment="1" applyProtection="1">
      <alignment horizontal="center" vertical="center"/>
      <protection locked="0"/>
    </xf>
    <xf numFmtId="0" fontId="71" fillId="8" borderId="77" xfId="236" applyNumberFormat="1" applyFont="1" applyFill="1" applyBorder="1" applyAlignment="1" applyProtection="1">
      <alignment horizontal="center" vertical="center"/>
      <protection locked="0"/>
    </xf>
    <xf numFmtId="0" fontId="48" fillId="8" borderId="76" xfId="236" applyNumberFormat="1" applyFont="1" applyFill="1" applyBorder="1" applyAlignment="1" applyProtection="1">
      <alignment horizontal="center" vertical="center"/>
      <protection locked="0"/>
    </xf>
    <xf numFmtId="0" fontId="48" fillId="8" borderId="74" xfId="236" applyNumberFormat="1" applyFont="1" applyFill="1" applyBorder="1" applyAlignment="1" applyProtection="1">
      <alignment horizontal="center" vertical="center"/>
      <protection locked="0"/>
    </xf>
    <xf numFmtId="0" fontId="73" fillId="8" borderId="79" xfId="1" applyFont="1" applyFill="1" applyBorder="1" applyAlignment="1" applyProtection="1">
      <alignment horizontal="center"/>
      <protection locked="0"/>
    </xf>
    <xf numFmtId="0" fontId="73" fillId="8" borderId="77" xfId="1" applyFont="1" applyFill="1" applyBorder="1" applyAlignment="1" applyProtection="1">
      <alignment horizontal="center"/>
      <protection locked="0"/>
    </xf>
    <xf numFmtId="0" fontId="109" fillId="2" borderId="50" xfId="1" applyFont="1" applyFill="1" applyBorder="1" applyAlignment="1" applyProtection="1">
      <alignment horizontal="center"/>
      <protection locked="0"/>
    </xf>
    <xf numFmtId="0" fontId="109" fillId="2" borderId="82" xfId="1" applyFont="1" applyFill="1" applyBorder="1" applyAlignment="1" applyProtection="1">
      <alignment horizontal="center"/>
      <protection locked="0"/>
    </xf>
    <xf numFmtId="0" fontId="109" fillId="8" borderId="5" xfId="1" applyFont="1" applyFill="1" applyBorder="1" applyAlignment="1" applyProtection="1">
      <alignment horizontal="center" vertical="center"/>
      <protection locked="0"/>
    </xf>
    <xf numFmtId="0" fontId="109" fillId="8" borderId="7" xfId="1" applyFont="1" applyFill="1" applyBorder="1" applyAlignment="1" applyProtection="1">
      <alignment horizontal="center" vertical="center"/>
      <protection locked="0"/>
    </xf>
    <xf numFmtId="0" fontId="108" fillId="8" borderId="49" xfId="236" applyNumberFormat="1" applyFont="1" applyFill="1" applyBorder="1" applyAlignment="1" applyProtection="1">
      <alignment horizontal="center" vertical="center"/>
      <protection locked="0"/>
    </xf>
    <xf numFmtId="0" fontId="108" fillId="8" borderId="48" xfId="236" applyNumberFormat="1" applyFont="1" applyFill="1" applyBorder="1" applyAlignment="1" applyProtection="1">
      <alignment horizontal="center" vertical="center"/>
      <protection locked="0"/>
    </xf>
    <xf numFmtId="0" fontId="108" fillId="8" borderId="47" xfId="236" applyNumberFormat="1" applyFont="1" applyFill="1" applyBorder="1" applyAlignment="1" applyProtection="1">
      <alignment horizontal="center" vertical="center"/>
      <protection locked="0"/>
    </xf>
    <xf numFmtId="0" fontId="58" fillId="8" borderId="93" xfId="236" applyNumberFormat="1" applyFont="1" applyFill="1" applyBorder="1" applyAlignment="1" applyProtection="1">
      <alignment horizontal="center" vertical="center"/>
      <protection locked="0"/>
    </xf>
    <xf numFmtId="0" fontId="58" fillId="8" borderId="92" xfId="236" applyNumberFormat="1" applyFont="1" applyFill="1" applyBorder="1" applyAlignment="1" applyProtection="1">
      <alignment horizontal="center" vertical="center"/>
      <protection locked="0"/>
    </xf>
    <xf numFmtId="0" fontId="58" fillId="8" borderId="94" xfId="236" applyNumberFormat="1" applyFont="1" applyFill="1" applyBorder="1" applyAlignment="1" applyProtection="1">
      <alignment horizontal="center" vertical="center"/>
      <protection locked="0"/>
    </xf>
    <xf numFmtId="0" fontId="58" fillId="8" borderId="36" xfId="236" applyNumberFormat="1" applyFont="1" applyFill="1" applyBorder="1" applyAlignment="1" applyProtection="1">
      <alignment horizontal="center" vertical="center"/>
      <protection locked="0"/>
    </xf>
    <xf numFmtId="0" fontId="58" fillId="8" borderId="33" xfId="236" applyNumberFormat="1" applyFont="1" applyFill="1" applyBorder="1" applyAlignment="1" applyProtection="1">
      <alignment horizontal="center" vertical="center"/>
      <protection locked="0"/>
    </xf>
  </cellXfs>
  <cellStyles count="623">
    <cellStyle name="?d????[0]" xfId="12"/>
    <cellStyle name="?d????_PLDT" xfId="13"/>
    <cellStyle name="?d?A|i[0]_c&amp;ac" xfId="14"/>
    <cellStyle name="?d?A|i_c&amp;ac" xfId="15"/>
    <cellStyle name="?f?? [0]" xfId="16"/>
    <cellStyle name="?f??_PLDT" xfId="17"/>
    <cellStyle name="?ormal_pldt_C_PLDT" xfId="18"/>
    <cellStyle name="?W?_report3" xfId="19"/>
    <cellStyle name="?W準_report3" xfId="20"/>
    <cellStyle name="_" xfId="21"/>
    <cellStyle name="_(7 0x115x210)8 5Ah_25 layers" xfId="22"/>
    <cellStyle name="__ [0.00]_A9805" xfId="23"/>
    <cellStyle name="__ [0.00]_A980520" xfId="24"/>
    <cellStyle name="__ [0.00]_A980616" xfId="25"/>
    <cellStyle name="__ [0.00]_A980715" xfId="26"/>
    <cellStyle name="__ [0.00]_A980724" xfId="27"/>
    <cellStyle name="__ [0.00]_A980903" xfId="28"/>
    <cellStyle name="__ [0.00]_A980903_981001" xfId="29"/>
    <cellStyle name="__ [0.00]_Book1 ___ 1" xfId="30"/>
    <cellStyle name="__ [0.00]_Book1 ___ 1-1" xfId="31"/>
    <cellStyle name="__ [0.00]_Book1 ___ 1-2" xfId="32"/>
    <cellStyle name="__ [0.00]_Book1 ___ 1-3" xfId="33"/>
    <cellStyle name="__ [0.00]_Book1 ___ 2" xfId="34"/>
    <cellStyle name="__ [0.00]_Book2" xfId="35"/>
    <cellStyle name="____ [0.00]_A9805" xfId="36"/>
    <cellStyle name="____ [0.00]_A980520" xfId="37"/>
    <cellStyle name="____ [0.00]_A980616" xfId="38"/>
    <cellStyle name="____ [0.00]_A980715" xfId="39"/>
    <cellStyle name="____ [0.00]_A980724" xfId="40"/>
    <cellStyle name="____ [0.00]_A980903" xfId="41"/>
    <cellStyle name="____ [0.00]_A980903_981001" xfId="42"/>
    <cellStyle name="____ [0.00]_Book1 ___ 1" xfId="43"/>
    <cellStyle name="____ [0.00]_Book1 ___ 1-1" xfId="44"/>
    <cellStyle name="____ [0.00]_Book1 ___ 1-2" xfId="45"/>
    <cellStyle name="____ [0.00]_Book1 ___ 1-3" xfId="46"/>
    <cellStyle name="____ [0.00]_Book1 ___ 2" xfId="47"/>
    <cellStyle name="____ [0.00]_Book2" xfId="48"/>
    <cellStyle name="_____A9805" xfId="49"/>
    <cellStyle name="_____A980520" xfId="50"/>
    <cellStyle name="_____A980616" xfId="51"/>
    <cellStyle name="_____A980715" xfId="52"/>
    <cellStyle name="_____A980724" xfId="53"/>
    <cellStyle name="_____A9809_____" xfId="54"/>
    <cellStyle name="_____A980903" xfId="55"/>
    <cellStyle name="_____A980903_981001" xfId="56"/>
    <cellStyle name="_____A980923" xfId="57"/>
    <cellStyle name="_____A980928" xfId="58"/>
    <cellStyle name="_____Book1 ___ 1" xfId="59"/>
    <cellStyle name="_____Book1 ___ 1-1" xfId="60"/>
    <cellStyle name="_____Book1 ___ 1-2" xfId="61"/>
    <cellStyle name="_____Book1 ___ 1-3" xfId="62"/>
    <cellStyle name="_____Book1 ___ 2" xfId="63"/>
    <cellStyle name="_____Book2" xfId="64"/>
    <cellStyle name="___A9805" xfId="65"/>
    <cellStyle name="___A9805_WEEKLY TEMPLATE" xfId="66"/>
    <cellStyle name="___A980520" xfId="67"/>
    <cellStyle name="___A980520_WEEKLY TEMPLATE" xfId="68"/>
    <cellStyle name="___A980616" xfId="69"/>
    <cellStyle name="___A980616_WEEKLY TEMPLATE" xfId="70"/>
    <cellStyle name="___A980715" xfId="71"/>
    <cellStyle name="___A980715_WEEKLY TEMPLATE" xfId="72"/>
    <cellStyle name="___A980724" xfId="73"/>
    <cellStyle name="___A980724_WEEKLY TEMPLATE" xfId="74"/>
    <cellStyle name="___A980810" xfId="75"/>
    <cellStyle name="___A9809_____" xfId="76"/>
    <cellStyle name="___A980903" xfId="77"/>
    <cellStyle name="___A980903_981001" xfId="78"/>
    <cellStyle name="___A980903_WEEKLY TEMPLATE" xfId="79"/>
    <cellStyle name="___A980923" xfId="80"/>
    <cellStyle name="___A980928" xfId="81"/>
    <cellStyle name="___Book1 ___ 1" xfId="82"/>
    <cellStyle name="___Book1 ___ 1_WEEKLY TEMPLATE" xfId="83"/>
    <cellStyle name="___Book1 ___ 1-1" xfId="84"/>
    <cellStyle name="___Book1 ___ 1-2" xfId="85"/>
    <cellStyle name="___Book1 ___ 1-3" xfId="86"/>
    <cellStyle name="___Book1 ___ 2" xfId="87"/>
    <cellStyle name="___Book1 ___ 2_WEEKLY TEMPLATE" xfId="88"/>
    <cellStyle name="___Book2" xfId="89"/>
    <cellStyle name="___Book2_WEEKLY TEMPLATE" xfId="90"/>
    <cellStyle name="_2007 DM交货月报表" xfId="238"/>
    <cellStyle name="_500Mu M6up Process Name Cards" xfId="239"/>
    <cellStyle name="_6000UPPM 拉线自动化设备投资--0922" xfId="240"/>
    <cellStyle name="_60Ah Cell design and material list for 2T HW-M6UP-8JR" xfId="91"/>
    <cellStyle name="_8000K of Injection" xfId="241"/>
    <cellStyle name="_8KK Capacity requirement" xfId="242"/>
    <cellStyle name="_9000K of Injection0727" xfId="243"/>
    <cellStyle name="_9000K of Tab-lead0727" xfId="244"/>
    <cellStyle name="_AF Winder status0722" xfId="245"/>
    <cellStyle name="_Baking oven capacity enhancement solution" xfId="246"/>
    <cellStyle name="_BOM and mixing-813L" xfId="92"/>
    <cellStyle name="_Capacity by Process--9000K Final--0725" xfId="247"/>
    <cellStyle name="_Capacity enhancement solution of Three in one machine" xfId="248"/>
    <cellStyle name="_Ceramic_Cap_Introduction_May-20-2011" xfId="249"/>
    <cellStyle name="_Comparing the performace of 5Ah and 15Ah" xfId="93"/>
    <cellStyle name="_customers audit April 23" xfId="94"/>
    <cellStyle name="_Design-60J0A7-LTO-5Ah" xfId="95"/>
    <cellStyle name="_EPP-0-0109L(60J0A7)" xfId="96"/>
    <cellStyle name="_EPP-0-0217L(60J0A7)" xfId="97"/>
    <cellStyle name="_EPP-0-0218L(60J0A7)" xfId="98"/>
    <cellStyle name="_EPP-0-0305L(60J0A7)" xfId="99"/>
    <cellStyle name="_EPP-0-0306L(60J0A7)" xfId="100"/>
    <cellStyle name="_EPP-10-503L(SSL)" xfId="101"/>
    <cellStyle name="_EPP-10-602L(SSL)" xfId="102"/>
    <cellStyle name="_EPP-10-618L-1(SSL)" xfId="103"/>
    <cellStyle name="_EPP-10-630L" xfId="104"/>
    <cellStyle name="_EPP-10-631L" xfId="105"/>
    <cellStyle name="_EPP-10-803L(SSL)" xfId="106"/>
    <cellStyle name="_EPP-10-812L" xfId="107"/>
    <cellStyle name="_EPP-10-812L_Design_水基_6Ah_AFC_VDA_Hard_Case" xfId="108"/>
    <cellStyle name="_EPP-10-916L" xfId="109"/>
    <cellStyle name="_EPP-10-916L_Design_水基_6Ah_AFC_VDA_Hard_Case" xfId="110"/>
    <cellStyle name="_EPP-10-A02L(SSL)" xfId="111"/>
    <cellStyle name="_EVLAB T116年度循环测试计划与设备需求0829" xfId="250"/>
    <cellStyle name="_HK capacity &amp; 3 in1 allocation--06161" xfId="251"/>
    <cellStyle name="_HK capacity enhancement solution" xfId="252"/>
    <cellStyle name="_HR Aug Winding all Book2" xfId="253"/>
    <cellStyle name="_HR Aug Winding all Book2_200Ah Process Flow" xfId="254"/>
    <cellStyle name="_HR Aug Winding all Book2_200Ah Process Flow-New1" xfId="255"/>
    <cellStyle name="_JJ组循环通道统计表-20120401" xfId="256"/>
    <cellStyle name="_LFP data" xfId="112"/>
    <cellStyle name="_LFP data_Design_水基_6Ah_AFC_VDA_Hard_Case" xfId="113"/>
    <cellStyle name="_M12 model设备工夹具改造计划" xfId="257"/>
    <cellStyle name="_M6C1 MOH" xfId="258"/>
    <cellStyle name="_M6S 6000uppm 人力配置" xfId="259"/>
    <cellStyle name="_Monthly Products STRatio" xfId="114"/>
    <cellStyle name="_MUC cell test equipments requirements list" xfId="260"/>
    <cellStyle name="_overall capacity" xfId="261"/>
    <cellStyle name="_Overall Production Plan for coating" xfId="262"/>
    <cellStyle name="_P2 22Ah BOM" xfId="115"/>
    <cellStyle name="_performance Summary for 2007" xfId="263"/>
    <cellStyle name="_performance Summary for 2007_SRC T113 QT" xfId="264"/>
    <cellStyle name="_performance Summary for Feb 2007" xfId="265"/>
    <cellStyle name="_performance Summary for Mar 2007" xfId="266"/>
    <cellStyle name="_QA target for T112" xfId="267"/>
    <cellStyle name="_QA target for T112_SRC T113 QT" xfId="268"/>
    <cellStyle name="_Quality target FE T112 (2)" xfId="269"/>
    <cellStyle name="_Quality target FE T112 (2)_SRC T113 QT" xfId="270"/>
    <cellStyle name="_R100506-292-石谦-浆料稳定性" xfId="116"/>
    <cellStyle name="_SRC T113 QT" xfId="271"/>
    <cellStyle name="_SSL M6C 项目（20080501）" xfId="272"/>
    <cellStyle name="_SSL M6S ETR" xfId="273"/>
    <cellStyle name="_SSL1 6000k需求计划" xfId="274"/>
    <cellStyle name="_SSL1 Capacity plan" xfId="275"/>
    <cellStyle name="_SSL1 M6S ETR" xfId="276"/>
    <cellStyle name="_SSL1-HK机产能1" xfId="277"/>
    <cellStyle name="_Summary of EPP-0-0109L" xfId="117"/>
    <cellStyle name="_Summary of EPP-0-0109L_Design_水基_6Ah_AFC_VDA_Hard_Case" xfId="118"/>
    <cellStyle name="_Summary of EPP-10-630L(SSL)" xfId="119"/>
    <cellStyle name="_Summary of EPP-10-630L(SSL)_Design_水基_6Ah_AFC_VDA_Hard_Case" xfId="120"/>
    <cellStyle name="_Summary of EPP-10-631L(SSL)" xfId="121"/>
    <cellStyle name="_Summary of EPP-10-631L(SSL)_Design_水基_6Ah_AFC_VDA_Hard_Case" xfId="122"/>
    <cellStyle name="_Tab-lead问题及解决方案0507" xfId="278"/>
    <cellStyle name="_Test plan" xfId="123"/>
    <cellStyle name="_Test plan_Design_水基_6Ah_AFC_VDA_Hard_Case" xfId="124"/>
    <cellStyle name="_Updated Build Plan---7 30" xfId="279"/>
    <cellStyle name="_Updated ORT plan 05272010" xfId="280"/>
    <cellStyle name="_标准工时-2011-01-05" xfId="281"/>
    <cellStyle name="_测试房新增ORT设备需求" xfId="282"/>
    <cellStyle name="_副本(涂膜机需求  BP" xfId="283"/>
    <cellStyle name="_副本CPE" xfId="284"/>
    <cellStyle name="_副本Fuse 拉线计划(SSL1+SSL2)-0627" xfId="285"/>
    <cellStyle name="_副本M6C Master Allocation Table (2)" xfId="286"/>
    <cellStyle name="_副本SSL M6S ETR 3.4" xfId="287"/>
    <cellStyle name="_副本SSL M6S ETR 装配6000K" xfId="288"/>
    <cellStyle name="_工作月报（Apr-May）--LiRP" xfId="289"/>
    <cellStyle name="_后工序各段产能需求计算 (2)" xfId="290"/>
    <cellStyle name="_夹具Baking产能分析" xfId="291"/>
    <cellStyle name="_姚万浩---指示单-(圆柱卷绕阴极膜片制备)" xfId="125"/>
    <cellStyle name="_姚万浩---指示单-(圆柱卷绕阴极膜片制备)_Design_水基_6Ah_AFC_VDA_Hard_Case" xfId="126"/>
    <cellStyle name="_自动化设备跟进项目--0226" xfId="292"/>
    <cellStyle name="¡EW?_report399" xfId="127"/>
    <cellStyle name="’E?Y [0.00]_16X" xfId="128"/>
    <cellStyle name="’E?Y_16X" xfId="129"/>
    <cellStyle name="’Ê‰Ý [0.00]_16X" xfId="130"/>
    <cellStyle name="’Ê‰Ý_16X" xfId="131"/>
    <cellStyle name="¤@¯ë_1450" xfId="132"/>
    <cellStyle name="¤d¤À¦ì[0]_c&amp;ac" xfId="133"/>
    <cellStyle name="¤d¤À¦ì_c&amp;ac" xfId="134"/>
    <cellStyle name="•W_16X" xfId="135"/>
    <cellStyle name="æØè [0.00]_Comdata" xfId="136"/>
    <cellStyle name="æØè_Comdata" xfId="137"/>
    <cellStyle name="ÊÝ [0.00]_Comdata" xfId="138"/>
    <cellStyle name="ÊÝ_Comdata" xfId="139"/>
    <cellStyle name="20% - Accent1" xfId="293"/>
    <cellStyle name="20% - Accent2" xfId="294"/>
    <cellStyle name="20% - Accent3" xfId="295"/>
    <cellStyle name="20% - Accent4" xfId="296"/>
    <cellStyle name="20% - Accent5" xfId="297"/>
    <cellStyle name="20% - Accent6" xfId="298"/>
    <cellStyle name="3232" xfId="299"/>
    <cellStyle name="3f1o [0]_PLDT" xfId="140"/>
    <cellStyle name="³f¹ô [0]_PLDT" xfId="141"/>
    <cellStyle name="3f1o[0]_c&amp;ac" xfId="142"/>
    <cellStyle name="³f¹ô[0]_c&amp;ac" xfId="143"/>
    <cellStyle name="3f1o[0]_c&amp;ac (2)" xfId="144"/>
    <cellStyle name="³f¹ô[0]_c&amp;ac (2)" xfId="145"/>
    <cellStyle name="3f1o[0]_c&amp;b" xfId="146"/>
    <cellStyle name="³f¹ô[0]_c&amp;b" xfId="147"/>
    <cellStyle name="3f1o[0]_manu" xfId="148"/>
    <cellStyle name="³f¹ô[0]_manu" xfId="149"/>
    <cellStyle name="3f1o_c&amp;ac" xfId="150"/>
    <cellStyle name="³f¹ô_c&amp;ac" xfId="151"/>
    <cellStyle name="3f1o_c&amp;ac (2)" xfId="152"/>
    <cellStyle name="³f¹ô_c&amp;ac (2)" xfId="153"/>
    <cellStyle name="3f1o_c&amp;b" xfId="154"/>
    <cellStyle name="³f¹ô_c&amp;b" xfId="155"/>
    <cellStyle name="3f1o_manu" xfId="156"/>
    <cellStyle name="³f¹ô_manu" xfId="157"/>
    <cellStyle name="40% - Accent1" xfId="300"/>
    <cellStyle name="40% - Accent2" xfId="301"/>
    <cellStyle name="40% - Accent3" xfId="302"/>
    <cellStyle name="40% - Accent4" xfId="303"/>
    <cellStyle name="40% - Accent5" xfId="304"/>
    <cellStyle name="40% - Accent6" xfId="305"/>
    <cellStyle name="60% - Accent1" xfId="306"/>
    <cellStyle name="60% - Accent2" xfId="307"/>
    <cellStyle name="60% - Accent3" xfId="308"/>
    <cellStyle name="60% - Accent4" xfId="309"/>
    <cellStyle name="60% - Accent5" xfId="310"/>
    <cellStyle name="60% - Accent6" xfId="311"/>
    <cellStyle name="Accent1" xfId="312"/>
    <cellStyle name="Accent2" xfId="313"/>
    <cellStyle name="Accent3" xfId="314"/>
    <cellStyle name="Accent4" xfId="315"/>
    <cellStyle name="Accent5" xfId="316"/>
    <cellStyle name="Accent6" xfId="317"/>
    <cellStyle name="åÖãÊêÿÇË [0.00]_report3" xfId="158"/>
    <cellStyle name="åÖãÊêÿÇË_report3" xfId="159"/>
    <cellStyle name="Bad" xfId="318"/>
    <cellStyle name="Calc Currency (0)" xfId="160"/>
    <cellStyle name="Calc Currency (2)" xfId="161"/>
    <cellStyle name="Calc Percent (0)" xfId="162"/>
    <cellStyle name="Calc Percent (1)" xfId="163"/>
    <cellStyle name="Calc Percent (2)" xfId="164"/>
    <cellStyle name="Calc Units (0)" xfId="165"/>
    <cellStyle name="Calc Units (1)" xfId="166"/>
    <cellStyle name="Calc Units (2)" xfId="167"/>
    <cellStyle name="Calculation" xfId="319"/>
    <cellStyle name="Check Cell" xfId="320"/>
    <cellStyle name="Comma [0]_ A-TDK " xfId="168"/>
    <cellStyle name="Comma [00]" xfId="169"/>
    <cellStyle name="Comma_ 8. ECN " xfId="170"/>
    <cellStyle name="Currency [0]_ 8. ECN " xfId="171"/>
    <cellStyle name="Currency [00]" xfId="172"/>
    <cellStyle name="Currency_ 8. ECN " xfId="173"/>
    <cellStyle name="Date Short" xfId="174"/>
    <cellStyle name="Enter Currency (0)" xfId="175"/>
    <cellStyle name="Enter Currency (2)" xfId="176"/>
    <cellStyle name="Enter Units (0)" xfId="177"/>
    <cellStyle name="Enter Units (1)" xfId="178"/>
    <cellStyle name="Enter Units (2)" xfId="179"/>
    <cellStyle name="Euro" xfId="180"/>
    <cellStyle name="Euro 2" xfId="596"/>
    <cellStyle name="Explanatory Text" xfId="321"/>
    <cellStyle name="Followed Hyperlink_Q45A NON PFC(API3PC94)0510W.xls" xfId="181"/>
    <cellStyle name="Good" xfId="322"/>
    <cellStyle name="Grey" xfId="182"/>
    <cellStyle name="Header1" xfId="183"/>
    <cellStyle name="Header2" xfId="184"/>
    <cellStyle name="Heading 1" xfId="323"/>
    <cellStyle name="Heading 2" xfId="324"/>
    <cellStyle name="Heading 3" xfId="325"/>
    <cellStyle name="Heading 4" xfId="326"/>
    <cellStyle name="Hyperlink" xfId="185"/>
    <cellStyle name="Hyperlink 2" xfId="327"/>
    <cellStyle name="Hyperlink_Q45A NON PFC(API3PC94)0510W.xls" xfId="328"/>
    <cellStyle name="í â› [0.00]_16X" xfId="186"/>
    <cellStyle name="í â›_16X" xfId="187"/>
    <cellStyle name="Input" xfId="329"/>
    <cellStyle name="Input [yellow]" xfId="188"/>
    <cellStyle name="Input_Apple CQP template-20110428 (2)" xfId="330"/>
    <cellStyle name="ïWèÄ_16X" xfId="189"/>
    <cellStyle name="Link Currency (0)" xfId="190"/>
    <cellStyle name="Link Currency (2)" xfId="191"/>
    <cellStyle name="Link Units (0)" xfId="192"/>
    <cellStyle name="Link Units (1)" xfId="193"/>
    <cellStyle name="Link Units (2)" xfId="194"/>
    <cellStyle name="Linked Cell" xfId="331"/>
    <cellStyle name="Neutral" xfId="332"/>
    <cellStyle name="Normal - Style1" xfId="195"/>
    <cellStyle name="Normal 1" xfId="333"/>
    <cellStyle name="Normal 2" xfId="334"/>
    <cellStyle name="Normal 4" xfId="622"/>
    <cellStyle name="Normal_ 8. ECN " xfId="196"/>
    <cellStyle name="Normal_TA_training_1" xfId="237"/>
    <cellStyle name="Note" xfId="335"/>
    <cellStyle name="Œ…‹æØ‚è [0.00]_Comdata" xfId="197"/>
    <cellStyle name="Œ…‹æØ‚è_Comdata" xfId="198"/>
    <cellStyle name="Output" xfId="336"/>
    <cellStyle name="Percen - Style2" xfId="199"/>
    <cellStyle name="Percent [0]" xfId="200"/>
    <cellStyle name="Percent [00]" xfId="201"/>
    <cellStyle name="Percent [2]" xfId="202"/>
    <cellStyle name="PrePop Currency (0)" xfId="203"/>
    <cellStyle name="PrePop Currency (2)" xfId="204"/>
    <cellStyle name="PrePop Units (0)" xfId="205"/>
    <cellStyle name="PrePop Units (1)" xfId="206"/>
    <cellStyle name="PrePop Units (2)" xfId="207"/>
    <cellStyle name="shade" xfId="208"/>
    <cellStyle name="Standard_Modul" xfId="337"/>
    <cellStyle name="Style 1" xfId="338"/>
    <cellStyle name="Text" xfId="209"/>
    <cellStyle name="Text Indent A" xfId="210"/>
    <cellStyle name="Text Indent B" xfId="211"/>
    <cellStyle name="Text Indent C" xfId="212"/>
    <cellStyle name="Title" xfId="339"/>
    <cellStyle name="Total" xfId="340"/>
    <cellStyle name="‧W?_16X" xfId="213"/>
    <cellStyle name="Warning Text" xfId="341"/>
    <cellStyle name="ハイパーリンク" xfId="342"/>
    <cellStyle name="ปกติ" xfId="214"/>
    <cellStyle name="ปกติ 2" xfId="597"/>
    <cellStyle name="ㆨormal_pldt_C_PLDT" xfId="215"/>
    <cellStyle name="百分比" xfId="230" builtinId="5"/>
    <cellStyle name="百分比 2" xfId="5"/>
    <cellStyle name="百分比 2 2" xfId="595"/>
    <cellStyle name="百分比 3" xfId="216"/>
    <cellStyle name="百分比 3 2 2" xfId="598"/>
    <cellStyle name="百分比 3 3" xfId="231"/>
    <cellStyle name="百分比 4" xfId="594"/>
    <cellStyle name="百分比 5" xfId="599"/>
    <cellStyle name="捠壿 [0.00]_CODE(CONS)" xfId="217"/>
    <cellStyle name="捠壿_CODE(CONS)" xfId="218"/>
    <cellStyle name="標準_# 3 Business Domain of Business" xfId="343"/>
    <cellStyle name="表示済みのハイパーリンク" xfId="344"/>
    <cellStyle name="差_2012-05-28 Job2 各个小组电芯制备和通道需求计划" xfId="345"/>
    <cellStyle name="差_2012-06-01 Job2项目进展" xfId="346"/>
    <cellStyle name="差_2012-09-07_Job2_sampleA_test_schedule" xfId="347"/>
    <cellStyle name="差_Apple CQP template-20110428" xfId="348"/>
    <cellStyle name="差_Apple CQP template-20110428_2012-05-28 Job2 各个小组电芯制备和通道需求计划" xfId="349"/>
    <cellStyle name="差_Apple CQP template-20110428_2012-06-07 Job2项目进展" xfId="350"/>
    <cellStyle name="差_Apple CQP template-20110428_2012-06-08 Job2 equipment and tooling(附件二)" xfId="351"/>
    <cellStyle name="差_Apple CQP template-20110428_2012-06-08 Job2项目进展 (5)" xfId="352"/>
    <cellStyle name="差_Apple CQP template-20110428_2012-06-14 Job2项目进展" xfId="353"/>
    <cellStyle name="差_Apple CQP template-20110428_2012-06-20 Job2项目进展" xfId="354"/>
    <cellStyle name="差_Apple CQP template-20110428_2012-07-04 Job2项目进展-yao" xfId="355"/>
    <cellStyle name="差_Apple CQP template-20110428_2012-08-06 Job2 化学体系比较（NMC and LFP）" xfId="356"/>
    <cellStyle name="差_Apple CQP template-20110428_2012-08-10 Job2 Design for Sample A" xfId="357"/>
    <cellStyle name="差_Apple CQP template-20110428_2012-08-15 Job2 Chemical system comparing（FSNC AND CAG-3）" xfId="358"/>
    <cellStyle name="差_Apple CQP template-20110428_2012-08-18 Job2 Chemical system comparing（FSNC AND S360）" xfId="359"/>
    <cellStyle name="差_Apple CQP template-20110428_2012-09-08 Job2 Sample A design and BOM" xfId="360"/>
    <cellStyle name="差_Apple CQP template-20110428_2012-09-13 Job2 Chemical system comparing（FSNC AND S360）" xfId="361"/>
    <cellStyle name="差_Apple CQP template-20110428_2012-7-4 Job2 process flow" xfId="362"/>
    <cellStyle name="差_Apple CQP template-20110428_2012-7-9 Job2 process flow" xfId="363"/>
    <cellStyle name="差_Apple CQP template-20110428_Design and BOM-20120830" xfId="364"/>
    <cellStyle name="差_Apple CQP template-20110428_预算清单" xfId="365"/>
    <cellStyle name="差_ATL J2 CQP Rev A(draft)_10282011" xfId="366"/>
    <cellStyle name="差_ATL J2 CQP Rev A(draft)_10282011_2012-05-28 Job2 各个小组电芯制备和通道需求计划" xfId="367"/>
    <cellStyle name="差_ATL J2 CQP Rev A(draft)_10282011_2012-06-07 Job2项目进展" xfId="368"/>
    <cellStyle name="差_ATL J2 CQP Rev A(draft)_10282011_2012-06-08 Job2 equipment and tooling(附件二)" xfId="369"/>
    <cellStyle name="差_ATL J2 CQP Rev A(draft)_10282011_2012-06-08 Job2项目进展 (5)" xfId="370"/>
    <cellStyle name="差_ATL J2 CQP Rev A(draft)_10282011_2012-06-14 Job2项目进展" xfId="371"/>
    <cellStyle name="差_ATL J2 CQP Rev A(draft)_10282011_2012-06-20 Job2项目进展" xfId="372"/>
    <cellStyle name="差_ATL J2 CQP Rev A(draft)_10282011_2012-07-04 Job2项目进展-yao" xfId="373"/>
    <cellStyle name="差_ATL J2 CQP Rev A(draft)_10282011_2012-08-06 Job2 化学体系比较（NMC and LFP）" xfId="374"/>
    <cellStyle name="差_ATL J2 CQP Rev A(draft)_10282011_2012-08-10 Job2 Design for Sample A" xfId="375"/>
    <cellStyle name="差_ATL J2 CQP Rev A(draft)_10282011_2012-08-15 Job2 Chemical system comparing（FSNC AND CAG-3）" xfId="376"/>
    <cellStyle name="差_ATL J2 CQP Rev A(draft)_10282011_2012-08-18 Job2 Chemical system comparing（FSNC AND S360）" xfId="377"/>
    <cellStyle name="差_ATL J2 CQP Rev A(draft)_10282011_2012-09-08 Job2 Sample A design and BOM" xfId="378"/>
    <cellStyle name="差_ATL J2 CQP Rev A(draft)_10282011_2012-09-13 Job2 Chemical system comparing（FSNC AND S360）" xfId="379"/>
    <cellStyle name="差_ATL J2 CQP Rev A(draft)_10282011_2012-7-4 Job2 process flow" xfId="380"/>
    <cellStyle name="差_ATL J2 CQP Rev A(draft)_10282011_2012-7-9 Job2 process flow" xfId="381"/>
    <cellStyle name="差_ATL J2 CQP Rev A(draft)_10282011_Design and BOM-20120830" xfId="382"/>
    <cellStyle name="差_ATL J2 CQP Rev A(draft)_10282011_预算清单" xfId="383"/>
    <cellStyle name="差_Book1" xfId="384"/>
    <cellStyle name="差_M82 PMP NEW EDITION" xfId="385"/>
    <cellStyle name="差_M82 PMP NEW EDITION_2012-05-28 Job2 各个小组电芯制备和通道需求计划" xfId="386"/>
    <cellStyle name="差_M82 PMP NEW EDITION_2012-06-07 Job2项目进展" xfId="387"/>
    <cellStyle name="差_M82 PMP NEW EDITION_2012-06-08 Job2 equipment and tooling(附件二)" xfId="388"/>
    <cellStyle name="差_M82 PMP NEW EDITION_2012-06-08 Job2项目进展 (5)" xfId="389"/>
    <cellStyle name="差_M82 PMP NEW EDITION_2012-06-14 Job2项目进展" xfId="390"/>
    <cellStyle name="差_M82 PMP NEW EDITION_2012-06-20 Job2项目进展" xfId="391"/>
    <cellStyle name="差_M82 PMP NEW EDITION_2012-07-04 Job2项目进展-yao" xfId="392"/>
    <cellStyle name="差_M82 PMP NEW EDITION_2012-08-06 Job2 化学体系比较（NMC and LFP）" xfId="393"/>
    <cellStyle name="差_M82 PMP NEW EDITION_2012-08-10 Job2 Design for Sample A" xfId="394"/>
    <cellStyle name="差_M82 PMP NEW EDITION_2012-08-15 Job2 Chemical system comparing（FSNC AND CAG-3）" xfId="395"/>
    <cellStyle name="差_M82 PMP NEW EDITION_2012-08-18 Job2 Chemical system comparing（FSNC AND S360）" xfId="396"/>
    <cellStyle name="差_M82 PMP NEW EDITION_2012-09-08 Job2 Sample A design and BOM" xfId="397"/>
    <cellStyle name="差_M82 PMP NEW EDITION_2012-09-13 Job2 Chemical system comparing（FSNC AND S360）" xfId="398"/>
    <cellStyle name="差_M82 PMP NEW EDITION_2012-7-4 Job2 process flow" xfId="399"/>
    <cellStyle name="差_M82 PMP NEW EDITION_2012-7-9 Job2 process flow" xfId="400"/>
    <cellStyle name="差_M82 PMP NEW EDITION_Design and BOM-20120830" xfId="401"/>
    <cellStyle name="差_M82 PMP NEW EDITION_预算清单" xfId="402"/>
    <cellStyle name="差_M82 PMP update new format 02_01 (2)" xfId="403"/>
    <cellStyle name="差_M82 PMP update new format 02_01 (2)_2012-05-28 Job2 各个小组电芯制备和通道需求计划" xfId="404"/>
    <cellStyle name="差_M82 PMP update new format 02_01 (2)_2012-06-07 Job2项目进展" xfId="405"/>
    <cellStyle name="差_M82 PMP update new format 02_01 (2)_2012-06-08 Job2 equipment and tooling(附件二)" xfId="406"/>
    <cellStyle name="差_M82 PMP update new format 02_01 (2)_2012-06-08 Job2项目进展 (5)" xfId="407"/>
    <cellStyle name="差_M82 PMP update new format 02_01 (2)_2012-06-14 Job2项目进展" xfId="408"/>
    <cellStyle name="差_M82 PMP update new format 02_01 (2)_2012-06-20 Job2项目进展" xfId="409"/>
    <cellStyle name="差_M82 PMP update new format 02_01 (2)_2012-07-04 Job2项目进展-yao" xfId="410"/>
    <cellStyle name="差_M82 PMP update new format 02_01 (2)_2012-08-06 Job2 化学体系比较（NMC and LFP）" xfId="411"/>
    <cellStyle name="差_M82 PMP update new format 02_01 (2)_2012-08-10 Job2 Design for Sample A" xfId="412"/>
    <cellStyle name="差_M82 PMP update new format 02_01 (2)_2012-08-15 Job2 Chemical system comparing（FSNC AND CAG-3）" xfId="413"/>
    <cellStyle name="差_M82 PMP update new format 02_01 (2)_2012-08-18 Job2 Chemical system comparing（FSNC AND S360）" xfId="414"/>
    <cellStyle name="差_M82 PMP update new format 02_01 (2)_2012-09-08 Job2 Sample A design and BOM" xfId="415"/>
    <cellStyle name="差_M82 PMP update new format 02_01 (2)_2012-09-13 Job2 Chemical system comparing（FSNC AND S360）" xfId="416"/>
    <cellStyle name="差_M82 PMP update new format 02_01 (2)_2012-7-4 Job2 process flow" xfId="417"/>
    <cellStyle name="差_M82 PMP update new format 02_01 (2)_2012-7-9 Job2 process flow" xfId="418"/>
    <cellStyle name="差_M82 PMP update new format 02_01 (2)_Design and BOM-20120830" xfId="419"/>
    <cellStyle name="差_M82 PMP update new format 02_01 (2)_预算清单" xfId="420"/>
    <cellStyle name="差_M82 PMP(20080203)" xfId="421"/>
    <cellStyle name="差_M82 PMP(20080203)_2012-05-28 Job2 各个小组电芯制备和通道需求计划" xfId="422"/>
    <cellStyle name="差_M82 PMP(20080203)_2012-06-07 Job2项目进展" xfId="423"/>
    <cellStyle name="差_M82 PMP(20080203)_2012-06-08 Job2 equipment and tooling(附件二)" xfId="424"/>
    <cellStyle name="差_M82 PMP(20080203)_2012-06-08 Job2项目进展 (5)" xfId="425"/>
    <cellStyle name="差_M82 PMP(20080203)_2012-06-14 Job2项目进展" xfId="426"/>
    <cellStyle name="差_M82 PMP(20080203)_2012-06-20 Job2项目进展" xfId="427"/>
    <cellStyle name="差_M82 PMP(20080203)_2012-07-04 Job2项目进展-yao" xfId="428"/>
    <cellStyle name="差_M82 PMP(20080203)_2012-08-06 Job2 化学体系比较（NMC and LFP）" xfId="429"/>
    <cellStyle name="差_M82 PMP(20080203)_2012-08-10 Job2 Design for Sample A" xfId="430"/>
    <cellStyle name="差_M82 PMP(20080203)_2012-08-15 Job2 Chemical system comparing（FSNC AND CAG-3）" xfId="431"/>
    <cellStyle name="差_M82 PMP(20080203)_2012-08-18 Job2 Chemical system comparing（FSNC AND S360）" xfId="432"/>
    <cellStyle name="差_M82 PMP(20080203)_2012-09-08 Job2 Sample A design and BOM" xfId="433"/>
    <cellStyle name="差_M82 PMP(20080203)_2012-09-13 Job2 Chemical system comparing（FSNC AND S360）" xfId="434"/>
    <cellStyle name="差_M82 PMP(20080203)_2012-7-4 Job2 process flow" xfId="435"/>
    <cellStyle name="差_M82 PMP(20080203)_2012-7-9 Job2 process flow" xfId="436"/>
    <cellStyle name="差_M82 PMP(20080203)_Design and BOM-20120830" xfId="437"/>
    <cellStyle name="差_M82 PMP(20080203)_预算清单" xfId="438"/>
    <cellStyle name="差_MUC cell test equipments requirements list" xfId="439"/>
    <cellStyle name="差_MUC M12项目进展12-28-2011" xfId="440"/>
    <cellStyle name="差_MUC M12项目进展12-28-2011_2012-05-28 Job2 各个小组电芯制备和通道需求计划" xfId="441"/>
    <cellStyle name="差_MUC M12项目进展12-28-2011_2012-06-07 Job2项目进展" xfId="442"/>
    <cellStyle name="差_MUC M12项目进展12-28-2011_2012-06-08 Job2 equipment and tooling(附件二)" xfId="443"/>
    <cellStyle name="差_MUC M12项目进展12-28-2011_2012-06-08 Job2项目进展 (5)" xfId="444"/>
    <cellStyle name="差_MUC M12项目进展12-28-2011_2012-06-14 Job2项目进展" xfId="445"/>
    <cellStyle name="差_MUC M12项目进展12-28-2011_2012-06-20 Job2项目进展" xfId="446"/>
    <cellStyle name="差_MUC M12项目进展12-28-2011_2012-07-04 Job2项目进展-yao" xfId="447"/>
    <cellStyle name="差_MUC M12项目进展12-28-2011_2012-08-06 Job2 化学体系比较（NMC and LFP）" xfId="448"/>
    <cellStyle name="差_MUC M12项目进展12-28-2011_2012-08-10 Job2 Design for Sample A" xfId="449"/>
    <cellStyle name="差_MUC M12项目进展12-28-2011_2012-08-15 Job2 Chemical system comparing（FSNC AND CAG-3）" xfId="450"/>
    <cellStyle name="差_MUC M12项目进展12-28-2011_2012-08-18 Job2 Chemical system comparing（FSNC AND S360）" xfId="451"/>
    <cellStyle name="差_MUC M12项目进展12-28-2011_2012-09-08 Job2 Sample A design and BOM" xfId="452"/>
    <cellStyle name="差_MUC M12项目进展12-28-2011_2012-09-13 Job2 Chemical system comparing（FSNC AND S360）" xfId="453"/>
    <cellStyle name="差_MUC M12项目进展12-28-2011_2012-7-4 Job2 process flow" xfId="454"/>
    <cellStyle name="差_MUC M12项目进展12-28-2011_2012-7-9 Job2 process flow" xfId="455"/>
    <cellStyle name="差_MUC M12项目进展12-28-2011_Design and BOM-20120830" xfId="456"/>
    <cellStyle name="差_MUC M12项目进展12-28-2011_预算清单" xfId="457"/>
    <cellStyle name="差_ORT testing plan &amp; CTQ" xfId="458"/>
    <cellStyle name="差_ORT testing plan &amp; CTQ_2012-05-28 Job2 各个小组电芯制备和通道需求计划" xfId="459"/>
    <cellStyle name="差_ORT testing plan &amp; CTQ_2012-06-07 Job2项目进展" xfId="460"/>
    <cellStyle name="差_ORT testing plan &amp; CTQ_2012-06-08 Job2 equipment and tooling(附件二)" xfId="461"/>
    <cellStyle name="差_ORT testing plan &amp; CTQ_2012-06-08 Job2项目进展 (5)" xfId="462"/>
    <cellStyle name="差_ORT testing plan &amp; CTQ_2012-06-14 Job2项目进展" xfId="463"/>
    <cellStyle name="差_ORT testing plan &amp; CTQ_2012-06-20 Job2项目进展" xfId="464"/>
    <cellStyle name="差_ORT testing plan &amp; CTQ_2012-07-04 Job2项目进展-yao" xfId="465"/>
    <cellStyle name="差_ORT testing plan &amp; CTQ_2012-08-06 Job2 化学体系比较（NMC and LFP）" xfId="466"/>
    <cellStyle name="差_ORT testing plan &amp; CTQ_2012-08-10 Job2 Design for Sample A" xfId="467"/>
    <cellStyle name="差_ORT testing plan &amp; CTQ_2012-08-15 Job2 Chemical system comparing（FSNC AND CAG-3）" xfId="468"/>
    <cellStyle name="差_ORT testing plan &amp; CTQ_2012-08-18 Job2 Chemical system comparing（FSNC AND S360）" xfId="469"/>
    <cellStyle name="差_ORT testing plan &amp; CTQ_2012-09-08 Job2 Sample A design and BOM" xfId="470"/>
    <cellStyle name="差_ORT testing plan &amp; CTQ_2012-09-13 Job2 Chemical system comparing（FSNC AND S360）" xfId="471"/>
    <cellStyle name="差_ORT testing plan &amp; CTQ_2012-7-4 Job2 process flow" xfId="472"/>
    <cellStyle name="差_ORT testing plan &amp; CTQ_2012-7-9 Job2 process flow" xfId="473"/>
    <cellStyle name="差_ORT testing plan &amp; CTQ_Design and BOM-20120830" xfId="474"/>
    <cellStyle name="差_ORT testing plan &amp; CTQ_预算清单" xfId="475"/>
    <cellStyle name="差_PMP" xfId="476"/>
    <cellStyle name="差_RI-正极组工程师工作职责及分工_Hybrid Team" xfId="600"/>
    <cellStyle name="差_RI-正极组工程师工作职责及分工20130129" xfId="601"/>
    <cellStyle name="差_Summary of cell after cycle1" xfId="477"/>
    <cellStyle name="差_Summary of cell after cycle1_2012-05-28 Job2 各个小组电芯制备和通道需求计划" xfId="478"/>
    <cellStyle name="差_Summary of cell after cycle1_2012-06-07 Job2项目进展" xfId="479"/>
    <cellStyle name="差_Summary of cell after cycle1_2012-06-08 Job2 equipment and tooling(附件二)" xfId="480"/>
    <cellStyle name="差_Summary of cell after cycle1_2012-06-08 Job2项目进展 (5)" xfId="481"/>
    <cellStyle name="差_Summary of cell after cycle1_2012-06-14 Job2项目进展" xfId="482"/>
    <cellStyle name="差_Summary of cell after cycle1_2012-06-20 Job2项目进展" xfId="483"/>
    <cellStyle name="差_Summary of cell after cycle1_2012-07-04 Job2项目进展-yao" xfId="484"/>
    <cellStyle name="差_Summary of cell after cycle1_2012-08-06 Job2 化学体系比较（NMC and LFP）" xfId="485"/>
    <cellStyle name="差_Summary of cell after cycle1_2012-08-10 Job2 Design for Sample A" xfId="486"/>
    <cellStyle name="差_Summary of cell after cycle1_2012-08-15 Job2 Chemical system comparing（FSNC AND CAG-3）" xfId="487"/>
    <cellStyle name="差_Summary of cell after cycle1_2012-08-18 Job2 Chemical system comparing（FSNC AND S360）" xfId="488"/>
    <cellStyle name="差_Summary of cell after cycle1_2012-09-08 Job2 Sample A design and BOM" xfId="489"/>
    <cellStyle name="差_Summary of cell after cycle1_2012-09-13 Job2 Chemical system comparing（FSNC AND S360）" xfId="490"/>
    <cellStyle name="差_Summary of cell after cycle1_2012-7-4 Job2 process flow" xfId="491"/>
    <cellStyle name="差_Summary of cell after cycle1_2012-7-9 Job2 process flow" xfId="492"/>
    <cellStyle name="差_Summary of cell after cycle1_Design and BOM-20120830" xfId="493"/>
    <cellStyle name="差_Summary of cell after cycle1_预算清单" xfId="494"/>
    <cellStyle name="差_Updated testing plan 02_01" xfId="495"/>
    <cellStyle name="差_Updated testing plan 02_01_2012-05-28 Job2 各个小组电芯制备和通道需求计划" xfId="496"/>
    <cellStyle name="差_Updated testing plan 02_01_2012-06-07 Job2项目进展" xfId="497"/>
    <cellStyle name="差_Updated testing plan 02_01_2012-06-08 Job2 equipment and tooling(附件二)" xfId="498"/>
    <cellStyle name="差_Updated testing plan 02_01_2012-06-08 Job2项目进展 (5)" xfId="499"/>
    <cellStyle name="差_Updated testing plan 02_01_2012-06-14 Job2项目进展" xfId="500"/>
    <cellStyle name="差_Updated testing plan 02_01_2012-06-20 Job2项目进展" xfId="501"/>
    <cellStyle name="差_Updated testing plan 02_01_2012-07-04 Job2项目进展-yao" xfId="502"/>
    <cellStyle name="差_Updated testing plan 02_01_2012-08-06 Job2 化学体系比较（NMC and LFP）" xfId="503"/>
    <cellStyle name="差_Updated testing plan 02_01_2012-08-10 Job2 Design for Sample A" xfId="504"/>
    <cellStyle name="差_Updated testing plan 02_01_2012-08-15 Job2 Chemical system comparing（FSNC AND CAG-3）" xfId="505"/>
    <cellStyle name="差_Updated testing plan 02_01_2012-08-18 Job2 Chemical system comparing（FSNC AND S360）" xfId="506"/>
    <cellStyle name="差_Updated testing plan 02_01_2012-09-08 Job2 Sample A design and BOM" xfId="507"/>
    <cellStyle name="差_Updated testing plan 02_01_2012-09-13 Job2 Chemical system comparing（FSNC AND S360）" xfId="508"/>
    <cellStyle name="差_Updated testing plan 02_01_2012-7-4 Job2 process flow" xfId="509"/>
    <cellStyle name="差_Updated testing plan 02_01_2012-7-9 Job2 process flow" xfId="510"/>
    <cellStyle name="差_Updated testing plan 02_01_Design and BOM-20120830" xfId="511"/>
    <cellStyle name="差_Updated testing plan 02_01_预算清单" xfId="512"/>
    <cellStyle name="差_报价单0801_110802(FuCH)" xfId="602"/>
    <cellStyle name="差_副本CPE" xfId="513"/>
    <cellStyle name="差_副本CPE_2012-05-28 Job2 各个小组电芯制备和通道需求计划" xfId="514"/>
    <cellStyle name="差_副本CPE_2012-06-07 Job2项目进展" xfId="515"/>
    <cellStyle name="差_副本CPE_2012-06-08 Job2 equipment and tooling(附件二)" xfId="516"/>
    <cellStyle name="差_副本CPE_2012-06-08 Job2项目进展 (5)" xfId="517"/>
    <cellStyle name="差_副本CPE_2012-06-14 Job2项目进展" xfId="518"/>
    <cellStyle name="差_副本CPE_2012-06-20 Job2项目进展" xfId="519"/>
    <cellStyle name="差_副本CPE_2012-07-04 Job2项目进展-yao" xfId="520"/>
    <cellStyle name="差_副本CPE_2012-08-06 Job2 化学体系比较（NMC and LFP）" xfId="521"/>
    <cellStyle name="差_副本CPE_2012-08-10 Job2 Design for Sample A" xfId="522"/>
    <cellStyle name="差_副本CPE_2012-08-15 Job2 Chemical system comparing（FSNC AND CAG-3）" xfId="523"/>
    <cellStyle name="差_副本CPE_2012-08-18 Job2 Chemical system comparing（FSNC AND S360）" xfId="524"/>
    <cellStyle name="差_副本CPE_2012-09-08 Job2 Sample A design and BOM" xfId="525"/>
    <cellStyle name="差_副本CPE_2012-09-13 Job2 Chemical system comparing（FSNC AND S360）" xfId="526"/>
    <cellStyle name="差_副本CPE_2012-7-4 Job2 process flow" xfId="527"/>
    <cellStyle name="差_副本CPE_2012-7-9 Job2 process flow" xfId="528"/>
    <cellStyle name="差_副本CPE_Design and BOM-20120830" xfId="529"/>
    <cellStyle name="差_副本CPE_预算清单" xfId="530"/>
    <cellStyle name="差_三元成品研发综合数据表和进度安排_120914(Rain)" xfId="603"/>
    <cellStyle name="差_预算清单" xfId="531"/>
    <cellStyle name="差_最终报价单" xfId="604"/>
    <cellStyle name="常规" xfId="0" builtinId="0"/>
    <cellStyle name="常规 2" xfId="1"/>
    <cellStyle name="常规 2 2" xfId="233"/>
    <cellStyle name="常规 2 2 2 2 6" xfId="234"/>
    <cellStyle name="常规 2 3" xfId="605"/>
    <cellStyle name="常规 2 4" xfId="606"/>
    <cellStyle name="常规 3" xfId="232"/>
    <cellStyle name="常规 4" xfId="219"/>
    <cellStyle name="常规 4 2" xfId="607"/>
    <cellStyle name="常规 4 3" xfId="608"/>
    <cellStyle name="常规 4 3 2" xfId="609"/>
    <cellStyle name="常规 5" xfId="235"/>
    <cellStyle name="常规 6" xfId="593"/>
    <cellStyle name="常规 8" xfId="610"/>
    <cellStyle name="常规_20Ah PHEV building with M6U process(hard case)" xfId="4"/>
    <cellStyle name="常规_40Ah PHEV design information" xfId="9"/>
    <cellStyle name="常规_45G2F0-BOM-2" xfId="11"/>
    <cellStyle name="常规_Aleees+FSNC-1" xfId="7"/>
    <cellStyle name="常规_BOM for 5 2Ah cylindrical cell" xfId="2"/>
    <cellStyle name="常规_Design_水基_6Ah_AFC_VDA_Hard_Case" xfId="8"/>
    <cellStyle name="常规_M6S Design for no MJ" xfId="6"/>
    <cellStyle name="常规_M6UP LINE各工序效率及操作员统计(10-14)" xfId="621"/>
    <cellStyle name="常规_ND EV line equipment qty（200Ah)" xfId="619"/>
    <cellStyle name="常规_ND M6UP进度情况(9-15)" xfId="620"/>
    <cellStyle name="常规_Olympic EV battery material cost" xfId="3"/>
    <cellStyle name="超级链接" xfId="220"/>
    <cellStyle name="超级链接 2" xfId="611"/>
    <cellStyle name="超链接" xfId="592" builtinId="8"/>
    <cellStyle name="超链接 2" xfId="612"/>
    <cellStyle name="好_2012-09-07_Job2_sampleA_test_schedule" xfId="532"/>
    <cellStyle name="好_Book1" xfId="533"/>
    <cellStyle name="好_MUC cell test equipments requirements list" xfId="534"/>
    <cellStyle name="好_MUC M12项目进展12-28-2011" xfId="535"/>
    <cellStyle name="好_MUC M12项目进展12-28-2011_2012-05-28 Job2 各个小组电芯制备和通道需求计划" xfId="536"/>
    <cellStyle name="好_MUC M12项目进展12-28-2011_2012-06-07 Job2项目进展" xfId="537"/>
    <cellStyle name="好_MUC M12项目进展12-28-2011_2012-06-08 Job2 equipment and tooling(附件二)" xfId="538"/>
    <cellStyle name="好_MUC M12项目进展12-28-2011_2012-06-08 Job2项目进展 (5)" xfId="539"/>
    <cellStyle name="好_MUC M12项目进展12-28-2011_2012-06-14 Job2项目进展" xfId="540"/>
    <cellStyle name="好_MUC M12项目进展12-28-2011_2012-06-20 Job2项目进展" xfId="541"/>
    <cellStyle name="好_MUC M12项目进展12-28-2011_2012-07-04 Job2项目进展-yao" xfId="542"/>
    <cellStyle name="好_MUC M12项目进展12-28-2011_2012-08-06 Job2 化学体系比较（NMC and LFP）" xfId="543"/>
    <cellStyle name="好_MUC M12项目进展12-28-2011_2012-08-10 Job2 Design for Sample A" xfId="544"/>
    <cellStyle name="好_MUC M12项目进展12-28-2011_2012-08-15 Job2 Chemical system comparing（FSNC AND CAG-3）" xfId="545"/>
    <cellStyle name="好_MUC M12项目进展12-28-2011_2012-08-18 Job2 Chemical system comparing（FSNC AND S360）" xfId="546"/>
    <cellStyle name="好_MUC M12项目进展12-28-2011_2012-09-08 Job2 Sample A design and BOM" xfId="547"/>
    <cellStyle name="好_MUC M12项目进展12-28-2011_2012-09-13 Job2 Chemical system comparing（FSNC AND S360）" xfId="548"/>
    <cellStyle name="好_MUC M12项目进展12-28-2011_2012-7-4 Job2 process flow" xfId="549"/>
    <cellStyle name="好_MUC M12项目进展12-28-2011_2012-7-9 Job2 process flow" xfId="550"/>
    <cellStyle name="好_MUC M12项目进展12-28-2011_Design and BOM-20120830" xfId="551"/>
    <cellStyle name="好_MUC M12项目进展12-28-2011_预算清单" xfId="552"/>
    <cellStyle name="好_RI-正极组工程师工作职责及分工_Hybrid Team" xfId="613"/>
    <cellStyle name="好_RI-正极组工程师工作职责及分工20130129" xfId="614"/>
    <cellStyle name="好_Summary of cell after cycle1" xfId="553"/>
    <cellStyle name="好_Summary of cell after cycle1_2012-05-28 Job2 各个小组电芯制备和通道需求计划" xfId="554"/>
    <cellStyle name="好_Summary of cell after cycle1_2012-06-07 Job2项目进展" xfId="555"/>
    <cellStyle name="好_Summary of cell after cycle1_2012-06-08 Job2 equipment and tooling(附件二)" xfId="556"/>
    <cellStyle name="好_Summary of cell after cycle1_2012-06-08 Job2项目进展 (5)" xfId="557"/>
    <cellStyle name="好_Summary of cell after cycle1_2012-06-14 Job2项目进展" xfId="558"/>
    <cellStyle name="好_Summary of cell after cycle1_2012-06-20 Job2项目进展" xfId="559"/>
    <cellStyle name="好_Summary of cell after cycle1_2012-07-04 Job2项目进展-yao" xfId="560"/>
    <cellStyle name="好_Summary of cell after cycle1_2012-08-06 Job2 化学体系比较（NMC and LFP）" xfId="561"/>
    <cellStyle name="好_Summary of cell after cycle1_2012-08-10 Job2 Design for Sample A" xfId="562"/>
    <cellStyle name="好_Summary of cell after cycle1_2012-08-15 Job2 Chemical system comparing（FSNC AND CAG-3）" xfId="563"/>
    <cellStyle name="好_Summary of cell after cycle1_2012-08-18 Job2 Chemical system comparing（FSNC AND S360）" xfId="564"/>
    <cellStyle name="好_Summary of cell after cycle1_2012-09-08 Job2 Sample A design and BOM" xfId="565"/>
    <cellStyle name="好_Summary of cell after cycle1_2012-09-13 Job2 Chemical system comparing（FSNC AND S360）" xfId="566"/>
    <cellStyle name="好_Summary of cell after cycle1_2012-7-4 Job2 process flow" xfId="567"/>
    <cellStyle name="好_Summary of cell after cycle1_2012-7-9 Job2 process flow" xfId="568"/>
    <cellStyle name="好_Summary of cell after cycle1_Design and BOM-20120830" xfId="569"/>
    <cellStyle name="好_Summary of cell after cycle1_预算清单" xfId="570"/>
    <cellStyle name="好_报价单0801_110802(FuCH)" xfId="615"/>
    <cellStyle name="好_副本CPE" xfId="571"/>
    <cellStyle name="好_副本CPE_2012-05-28 Job2 各个小组电芯制备和通道需求计划" xfId="572"/>
    <cellStyle name="好_副本CPE_2012-06-07 Job2项目进展" xfId="573"/>
    <cellStyle name="好_副本CPE_2012-06-08 Job2 equipment and tooling(附件二)" xfId="574"/>
    <cellStyle name="好_副本CPE_2012-06-08 Job2项目进展 (5)" xfId="575"/>
    <cellStyle name="好_副本CPE_2012-06-14 Job2项目进展" xfId="576"/>
    <cellStyle name="好_副本CPE_2012-06-20 Job2项目进展" xfId="577"/>
    <cellStyle name="好_副本CPE_2012-07-04 Job2项目进展-yao" xfId="578"/>
    <cellStyle name="好_副本CPE_2012-08-06 Job2 化学体系比较（NMC and LFP）" xfId="579"/>
    <cellStyle name="好_副本CPE_2012-08-10 Job2 Design for Sample A" xfId="580"/>
    <cellStyle name="好_副本CPE_2012-08-15 Job2 Chemical system comparing（FSNC AND CAG-3）" xfId="581"/>
    <cellStyle name="好_副本CPE_2012-08-18 Job2 Chemical system comparing（FSNC AND S360）" xfId="582"/>
    <cellStyle name="好_副本CPE_2012-09-08 Job2 Sample A design and BOM" xfId="583"/>
    <cellStyle name="好_副本CPE_2012-09-13 Job2 Chemical system comparing（FSNC AND S360）" xfId="584"/>
    <cellStyle name="好_副本CPE_2012-7-4 Job2 process flow" xfId="585"/>
    <cellStyle name="好_副本CPE_2012-7-9 Job2 process flow" xfId="586"/>
    <cellStyle name="好_副本CPE_Design and BOM-20120830" xfId="587"/>
    <cellStyle name="好_副本CPE_预算清单" xfId="588"/>
    <cellStyle name="好_三元成品研发综合数据表和进度安排_120914(Rain)" xfId="616"/>
    <cellStyle name="好_最终报价单" xfId="617"/>
    <cellStyle name="桁区切り [0.00]_Comdata" xfId="221"/>
    <cellStyle name="桁区切り_Comdata" xfId="222"/>
    <cellStyle name="后继超级链接" xfId="223"/>
    <cellStyle name="后继超级链接 2" xfId="618"/>
    <cellStyle name="貨幣[0]_ BURN-IN" xfId="224"/>
    <cellStyle name="貨幣_02TC TestPlan For P&amp;R" xfId="225"/>
    <cellStyle name="千分位_1 K6 Budget K60309 1435" xfId="589"/>
    <cellStyle name="千位分隔 2" xfId="10"/>
    <cellStyle name="通貨 [0.00]_0298.xls グラフ 1" xfId="226"/>
    <cellStyle name="通貨_0298.xls グラフ 1" xfId="227"/>
    <cellStyle name="样式 1" xfId="228"/>
    <cellStyle name="一般__FY2007 Business Plan Form List011006 (Joe)" xfId="590"/>
    <cellStyle name="一般_TA_training_1" xfId="236"/>
    <cellStyle name="昗弨_512" xfId="229"/>
    <cellStyle name="표준_(080807) PMP v00" xfId="591"/>
  </cellStyles>
  <dxfs count="61">
    <dxf>
      <fill>
        <patternFill>
          <bgColor rgb="FF92D050"/>
        </patternFill>
      </fill>
    </dxf>
    <dxf>
      <fill>
        <patternFill>
          <bgColor rgb="FFFF0000"/>
        </patternFill>
      </fill>
    </dxf>
    <dxf>
      <fill>
        <patternFill>
          <bgColor rgb="FF92D050"/>
        </patternFill>
      </fill>
    </dxf>
    <dxf>
      <fill>
        <patternFill>
          <bgColor rgb="FFFF0000"/>
        </patternFill>
      </fill>
    </dxf>
    <dxf>
      <fill>
        <patternFill>
          <bgColor rgb="FF92D050"/>
        </patternFill>
      </fill>
    </dxf>
    <dxf>
      <fill>
        <patternFill>
          <bgColor rgb="FFFF0000"/>
        </patternFill>
      </fill>
    </dxf>
    <dxf>
      <fill>
        <patternFill>
          <bgColor rgb="FFFF0000"/>
        </patternFill>
      </fill>
    </dxf>
    <dxf>
      <fill>
        <patternFill>
          <bgColor rgb="FF92D050"/>
        </patternFill>
      </fill>
    </dxf>
    <dxf>
      <fill>
        <patternFill>
          <bgColor rgb="FF92D050"/>
        </patternFill>
      </fill>
    </dxf>
    <dxf>
      <fill>
        <patternFill>
          <bgColor rgb="FFFF0000"/>
        </patternFill>
      </fill>
    </dxf>
    <dxf>
      <fill>
        <patternFill>
          <bgColor rgb="FF00B050"/>
        </patternFill>
      </fill>
    </dxf>
    <dxf>
      <fill>
        <patternFill>
          <bgColor rgb="FF92D050"/>
        </patternFill>
      </fill>
    </dxf>
    <dxf>
      <fill>
        <patternFill>
          <bgColor rgb="FFFF0000"/>
        </patternFill>
      </fill>
    </dxf>
    <dxf>
      <fill>
        <patternFill>
          <bgColor rgb="FFFF0000"/>
        </patternFill>
      </fill>
    </dxf>
    <dxf>
      <fill>
        <patternFill>
          <bgColor rgb="FF92D050"/>
        </patternFill>
      </fill>
    </dxf>
    <dxf>
      <fill>
        <patternFill>
          <bgColor rgb="FF92D050"/>
        </patternFill>
      </fill>
    </dxf>
    <dxf>
      <fill>
        <patternFill>
          <bgColor rgb="FFFF0000"/>
        </patternFill>
      </fill>
    </dxf>
    <dxf>
      <fill>
        <patternFill>
          <bgColor rgb="FF00B050"/>
        </patternFill>
      </fill>
    </dxf>
    <dxf>
      <fill>
        <patternFill>
          <bgColor rgb="FF92D050"/>
        </patternFill>
      </fill>
    </dxf>
    <dxf>
      <fill>
        <patternFill>
          <bgColor rgb="FFFF00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FFFF00"/>
        </patternFill>
      </fill>
    </dxf>
    <dxf>
      <fill>
        <patternFill>
          <bgColor rgb="FF92D050"/>
        </patternFill>
      </fill>
    </dxf>
    <dxf>
      <fill>
        <patternFill>
          <bgColor rgb="FF92D050"/>
        </patternFill>
      </fill>
    </dxf>
    <dxf>
      <fill>
        <patternFill>
          <bgColor rgb="FFFF0000"/>
        </patternFill>
      </fill>
    </dxf>
    <dxf>
      <fill>
        <patternFill>
          <bgColor rgb="FFFF0000"/>
        </patternFill>
      </fill>
    </dxf>
    <dxf>
      <fill>
        <patternFill>
          <bgColor rgb="FFFF0000"/>
        </patternFill>
      </fill>
    </dxf>
    <dxf>
      <fill>
        <patternFill>
          <bgColor rgb="FF92D050"/>
        </patternFill>
      </fill>
    </dxf>
    <dxf>
      <fill>
        <patternFill>
          <bgColor rgb="FFFFFF00"/>
        </patternFill>
      </fill>
    </dxf>
    <dxf>
      <fill>
        <patternFill>
          <bgColor rgb="FF92D050"/>
        </patternFill>
      </fill>
    </dxf>
    <dxf>
      <fill>
        <patternFill>
          <bgColor rgb="FFFFFF00"/>
        </patternFill>
      </fill>
    </dxf>
  </dxfs>
  <tableStyles count="0" defaultTableStyle="TableStyleMedium2" defaultPivotStyle="PivotStyleLight16"/>
  <colors>
    <mruColors>
      <color rgb="FFCCFFFF"/>
      <color rgb="FFF8F8F8"/>
      <color rgb="FFEAEAEA"/>
      <color rgb="FFE9EDF4"/>
      <color rgb="FFD0D8E8"/>
      <color rgb="FFCCFFCC"/>
      <color rgb="FF00FFCC"/>
      <color rgb="FFCCFF99"/>
      <color rgb="FF66FFFF"/>
      <color rgb="FF00FF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externalLink" Target="externalLinks/externalLink5.xml"/><Relationship Id="rId26" Type="http://schemas.openxmlformats.org/officeDocument/2006/relationships/externalLink" Target="externalLinks/externalLink13.xml"/><Relationship Id="rId39" Type="http://schemas.openxmlformats.org/officeDocument/2006/relationships/externalLink" Target="externalLinks/externalLink26.xml"/><Relationship Id="rId3" Type="http://schemas.openxmlformats.org/officeDocument/2006/relationships/worksheet" Target="worksheets/sheet3.xml"/><Relationship Id="rId21" Type="http://schemas.openxmlformats.org/officeDocument/2006/relationships/externalLink" Target="externalLinks/externalLink8.xml"/><Relationship Id="rId34" Type="http://schemas.openxmlformats.org/officeDocument/2006/relationships/externalLink" Target="externalLinks/externalLink21.xml"/><Relationship Id="rId42" Type="http://schemas.openxmlformats.org/officeDocument/2006/relationships/externalLink" Target="externalLinks/externalLink29.xml"/><Relationship Id="rId47" Type="http://schemas.openxmlformats.org/officeDocument/2006/relationships/externalLink" Target="externalLinks/externalLink34.xml"/><Relationship Id="rId50"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externalLink" Target="externalLinks/externalLink4.xml"/><Relationship Id="rId25" Type="http://schemas.openxmlformats.org/officeDocument/2006/relationships/externalLink" Target="externalLinks/externalLink12.xml"/><Relationship Id="rId33" Type="http://schemas.openxmlformats.org/officeDocument/2006/relationships/externalLink" Target="externalLinks/externalLink20.xml"/><Relationship Id="rId38" Type="http://schemas.openxmlformats.org/officeDocument/2006/relationships/externalLink" Target="externalLinks/externalLink25.xml"/><Relationship Id="rId46" Type="http://schemas.openxmlformats.org/officeDocument/2006/relationships/externalLink" Target="externalLinks/externalLink33.xml"/><Relationship Id="rId2" Type="http://schemas.openxmlformats.org/officeDocument/2006/relationships/worksheet" Target="worksheets/sheet2.xml"/><Relationship Id="rId16" Type="http://schemas.openxmlformats.org/officeDocument/2006/relationships/externalLink" Target="externalLinks/externalLink3.xml"/><Relationship Id="rId20" Type="http://schemas.openxmlformats.org/officeDocument/2006/relationships/externalLink" Target="externalLinks/externalLink7.xml"/><Relationship Id="rId29" Type="http://schemas.openxmlformats.org/officeDocument/2006/relationships/externalLink" Target="externalLinks/externalLink16.xml"/><Relationship Id="rId41" Type="http://schemas.openxmlformats.org/officeDocument/2006/relationships/externalLink" Target="externalLinks/externalLink28.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1.xml"/><Relationship Id="rId32" Type="http://schemas.openxmlformats.org/officeDocument/2006/relationships/externalLink" Target="externalLinks/externalLink19.xml"/><Relationship Id="rId37" Type="http://schemas.openxmlformats.org/officeDocument/2006/relationships/externalLink" Target="externalLinks/externalLink24.xml"/><Relationship Id="rId40" Type="http://schemas.openxmlformats.org/officeDocument/2006/relationships/externalLink" Target="externalLinks/externalLink27.xml"/><Relationship Id="rId45" Type="http://schemas.openxmlformats.org/officeDocument/2006/relationships/externalLink" Target="externalLinks/externalLink32.xml"/><Relationship Id="rId53"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externalLink" Target="externalLinks/externalLink2.xml"/><Relationship Id="rId23" Type="http://schemas.openxmlformats.org/officeDocument/2006/relationships/externalLink" Target="externalLinks/externalLink10.xml"/><Relationship Id="rId28" Type="http://schemas.openxmlformats.org/officeDocument/2006/relationships/externalLink" Target="externalLinks/externalLink15.xml"/><Relationship Id="rId36" Type="http://schemas.openxmlformats.org/officeDocument/2006/relationships/externalLink" Target="externalLinks/externalLink23.xml"/><Relationship Id="rId49" Type="http://schemas.openxmlformats.org/officeDocument/2006/relationships/externalLink" Target="externalLinks/externalLink36.xml"/><Relationship Id="rId10" Type="http://schemas.openxmlformats.org/officeDocument/2006/relationships/worksheet" Target="worksheets/sheet10.xml"/><Relationship Id="rId19" Type="http://schemas.openxmlformats.org/officeDocument/2006/relationships/externalLink" Target="externalLinks/externalLink6.xml"/><Relationship Id="rId31" Type="http://schemas.openxmlformats.org/officeDocument/2006/relationships/externalLink" Target="externalLinks/externalLink18.xml"/><Relationship Id="rId44" Type="http://schemas.openxmlformats.org/officeDocument/2006/relationships/externalLink" Target="externalLinks/externalLink31.xml"/><Relationship Id="rId52"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externalLink" Target="externalLinks/externalLink1.xml"/><Relationship Id="rId22" Type="http://schemas.openxmlformats.org/officeDocument/2006/relationships/externalLink" Target="externalLinks/externalLink9.xml"/><Relationship Id="rId27" Type="http://schemas.openxmlformats.org/officeDocument/2006/relationships/externalLink" Target="externalLinks/externalLink14.xml"/><Relationship Id="rId30" Type="http://schemas.openxmlformats.org/officeDocument/2006/relationships/externalLink" Target="externalLinks/externalLink17.xml"/><Relationship Id="rId35" Type="http://schemas.openxmlformats.org/officeDocument/2006/relationships/externalLink" Target="externalLinks/externalLink22.xml"/><Relationship Id="rId43" Type="http://schemas.openxmlformats.org/officeDocument/2006/relationships/externalLink" Target="externalLinks/externalLink30.xml"/><Relationship Id="rId48" Type="http://schemas.openxmlformats.org/officeDocument/2006/relationships/externalLink" Target="externalLinks/externalLink35.xml"/><Relationship Id="rId8" Type="http://schemas.openxmlformats.org/officeDocument/2006/relationships/worksheet" Target="worksheets/sheet8.xml"/><Relationship Id="rId51" Type="http://schemas.openxmlformats.org/officeDocument/2006/relationships/styles" Target="styles.xml"/></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5.png"/><Relationship Id="rId5" Type="http://schemas.openxmlformats.org/officeDocument/2006/relationships/image" Target="cid:image001.png@01D23427.E3543040" TargetMode="External"/><Relationship Id="rId4" Type="http://schemas.openxmlformats.org/officeDocument/2006/relationships/image" Target="../media/image4.png"/></Relationships>
</file>

<file path=xl/drawings/_rels/drawing4.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7.png"/></Relationships>
</file>

<file path=xl/drawings/_rels/vmlDrawing7.vml.rels><?xml version="1.0" encoding="UTF-8" standalone="yes"?>
<Relationships xmlns="http://schemas.openxmlformats.org/package/2006/relationships"><Relationship Id="rId1" Type="http://schemas.openxmlformats.org/officeDocument/2006/relationships/image" Target="../media/image8.emf"/></Relationships>
</file>

<file path=xl/drawings/drawing1.xml><?xml version="1.0" encoding="utf-8"?>
<xdr:wsDr xmlns:xdr="http://schemas.openxmlformats.org/drawingml/2006/spreadsheetDrawing" xmlns:a="http://schemas.openxmlformats.org/drawingml/2006/main">
  <xdr:twoCellAnchor>
    <xdr:from>
      <xdr:col>2</xdr:col>
      <xdr:colOff>381000</xdr:colOff>
      <xdr:row>2</xdr:row>
      <xdr:rowOff>209550</xdr:rowOff>
    </xdr:from>
    <xdr:to>
      <xdr:col>2</xdr:col>
      <xdr:colOff>5362575</xdr:colOff>
      <xdr:row>11</xdr:row>
      <xdr:rowOff>38100</xdr:rowOff>
    </xdr:to>
    <xdr:grpSp>
      <xdr:nvGrpSpPr>
        <xdr:cNvPr id="6" name="组合 5"/>
        <xdr:cNvGrpSpPr/>
      </xdr:nvGrpSpPr>
      <xdr:grpSpPr>
        <a:xfrm>
          <a:off x="962025" y="666750"/>
          <a:ext cx="4981575" cy="1809750"/>
          <a:chOff x="962025" y="666750"/>
          <a:chExt cx="4981575" cy="1809750"/>
        </a:xfrm>
      </xdr:grpSpPr>
      <xdr:sp macro="" textlink="">
        <xdr:nvSpPr>
          <xdr:cNvPr id="2" name="TextBox 1"/>
          <xdr:cNvSpPr txBox="1"/>
        </xdr:nvSpPr>
        <xdr:spPr>
          <a:xfrm>
            <a:off x="962025" y="666750"/>
            <a:ext cx="1466850" cy="18002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400" b="1">
                <a:latin typeface="+mn-lt"/>
              </a:rPr>
              <a:t>输入：</a:t>
            </a:r>
            <a:endParaRPr lang="en-US" altLang="zh-CN" sz="1400" b="1">
              <a:latin typeface="+mn-lt"/>
            </a:endParaRPr>
          </a:p>
          <a:p>
            <a:endParaRPr lang="en-US" altLang="zh-CN" sz="1100">
              <a:latin typeface="+mn-lt"/>
            </a:endParaRPr>
          </a:p>
          <a:p>
            <a:r>
              <a:rPr lang="zh-CN" altLang="zh-CN" sz="1100">
                <a:solidFill>
                  <a:schemeClr val="dk1"/>
                </a:solidFill>
                <a:effectLst/>
                <a:latin typeface="+mn-lt"/>
                <a:ea typeface="+mn-ea"/>
                <a:cs typeface="+mn-cs"/>
              </a:rPr>
              <a:t>◇</a:t>
            </a:r>
            <a:r>
              <a:rPr lang="zh-CN" altLang="en-US" sz="1100">
                <a:solidFill>
                  <a:schemeClr val="dk1"/>
                </a:solidFill>
                <a:effectLst/>
                <a:latin typeface="+mn-lt"/>
                <a:ea typeface="+mn-ea"/>
                <a:cs typeface="+mn-cs"/>
              </a:rPr>
              <a:t>机械件数据库</a:t>
            </a:r>
            <a:endParaRPr lang="en-US" altLang="zh-CN"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zh-CN" altLang="zh-CN" sz="1100">
                <a:solidFill>
                  <a:schemeClr val="dk1"/>
                </a:solidFill>
                <a:effectLst/>
                <a:latin typeface="+mn-lt"/>
                <a:ea typeface="+mn-ea"/>
                <a:cs typeface="+mn-cs"/>
              </a:rPr>
              <a:t>◇</a:t>
            </a:r>
            <a:r>
              <a:rPr lang="zh-CN" altLang="en-US" sz="1100">
                <a:solidFill>
                  <a:schemeClr val="dk1"/>
                </a:solidFill>
                <a:effectLst/>
                <a:latin typeface="+mn-lt"/>
                <a:ea typeface="+mn-ea"/>
                <a:cs typeface="+mn-cs"/>
              </a:rPr>
              <a:t>化学件数据库</a:t>
            </a:r>
            <a:endParaRPr lang="zh-CN" altLang="zh-CN">
              <a:effectLst/>
            </a:endParaRPr>
          </a:p>
          <a:p>
            <a:r>
              <a:rPr lang="zh-CN" altLang="zh-CN" sz="1100">
                <a:solidFill>
                  <a:schemeClr val="dk1"/>
                </a:solidFill>
                <a:effectLst/>
                <a:latin typeface="+mn-lt"/>
                <a:ea typeface="+mn-ea"/>
                <a:cs typeface="+mn-cs"/>
              </a:rPr>
              <a:t>◇</a:t>
            </a:r>
            <a:r>
              <a:rPr lang="zh-CN" altLang="en-US" sz="1100">
                <a:solidFill>
                  <a:schemeClr val="dk1"/>
                </a:solidFill>
                <a:effectLst/>
                <a:latin typeface="+mn-lt"/>
                <a:ea typeface="+mn-ea"/>
                <a:cs typeface="+mn-cs"/>
              </a:rPr>
              <a:t>设计主界面</a:t>
            </a:r>
            <a:endParaRPr lang="zh-CN" altLang="en-US" sz="1100">
              <a:latin typeface="+mn-lt"/>
            </a:endParaRPr>
          </a:p>
        </xdr:txBody>
      </xdr:sp>
      <xdr:sp macro="" textlink="">
        <xdr:nvSpPr>
          <xdr:cNvPr id="3" name="右箭头 2"/>
          <xdr:cNvSpPr/>
        </xdr:nvSpPr>
        <xdr:spPr bwMode="auto">
          <a:xfrm>
            <a:off x="2543175" y="1285875"/>
            <a:ext cx="1752600" cy="314325"/>
          </a:xfrm>
          <a:prstGeom prst="rightArrow">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sp macro="" textlink="">
        <xdr:nvSpPr>
          <xdr:cNvPr id="4" name="TextBox 3"/>
          <xdr:cNvSpPr txBox="1"/>
        </xdr:nvSpPr>
        <xdr:spPr>
          <a:xfrm>
            <a:off x="4476750" y="676275"/>
            <a:ext cx="1466850" cy="180022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1400" b="1">
                <a:latin typeface="+mn-lt"/>
              </a:rPr>
              <a:t>输出：</a:t>
            </a:r>
            <a:endParaRPr lang="en-US" altLang="zh-CN" sz="1400" b="1">
              <a:latin typeface="+mn-lt"/>
            </a:endParaRPr>
          </a:p>
          <a:p>
            <a:endParaRPr lang="en-US" altLang="zh-CN" sz="1100">
              <a:latin typeface="+mn-lt"/>
            </a:endParaRPr>
          </a:p>
          <a:p>
            <a:r>
              <a:rPr lang="zh-CN" altLang="en-US" sz="1100">
                <a:latin typeface="宋体"/>
                <a:ea typeface="宋体"/>
              </a:rPr>
              <a:t>◇</a:t>
            </a:r>
            <a:r>
              <a:rPr lang="en-US" altLang="zh-CN" sz="1100">
                <a:latin typeface="Calibri" pitchFamily="34" charset="0"/>
                <a:ea typeface="宋体"/>
              </a:rPr>
              <a:t>summary</a:t>
            </a:r>
          </a:p>
          <a:p>
            <a:r>
              <a:rPr lang="zh-CN" altLang="zh-CN" sz="1100">
                <a:solidFill>
                  <a:schemeClr val="dk1"/>
                </a:solidFill>
                <a:effectLst/>
                <a:latin typeface="+mn-lt"/>
                <a:ea typeface="+mn-ea"/>
                <a:cs typeface="+mn-cs"/>
              </a:rPr>
              <a:t>◇</a:t>
            </a:r>
            <a:r>
              <a:rPr lang="zh-CN" altLang="en-US" sz="1100">
                <a:latin typeface="+mn-lt"/>
                <a:ea typeface="+mn-ea"/>
              </a:rPr>
              <a:t>模切尺寸</a:t>
            </a:r>
            <a:r>
              <a:rPr lang="zh-CN" altLang="zh-CN" sz="1100">
                <a:solidFill>
                  <a:schemeClr val="dk1"/>
                </a:solidFill>
                <a:effectLst/>
                <a:latin typeface="+mn-lt"/>
                <a:ea typeface="+mn-ea"/>
                <a:cs typeface="+mn-cs"/>
              </a:rPr>
              <a:t>◇</a:t>
            </a:r>
            <a:r>
              <a:rPr lang="en-US" altLang="zh-CN" sz="1100">
                <a:solidFill>
                  <a:schemeClr val="dk1"/>
                </a:solidFill>
                <a:effectLst/>
                <a:latin typeface="+mn-lt"/>
                <a:ea typeface="+mn-ea"/>
                <a:cs typeface="+mn-cs"/>
              </a:rPr>
              <a:t>Overhang</a:t>
            </a:r>
          </a:p>
          <a:p>
            <a:r>
              <a:rPr lang="zh-CN" altLang="zh-CN" sz="1100">
                <a:solidFill>
                  <a:schemeClr val="dk1"/>
                </a:solidFill>
                <a:effectLst/>
                <a:latin typeface="+mn-lt"/>
                <a:ea typeface="+mn-ea"/>
                <a:cs typeface="+mn-cs"/>
              </a:rPr>
              <a:t>◇</a:t>
            </a:r>
            <a:r>
              <a:rPr lang="en-US" altLang="zh-CN" sz="1100">
                <a:solidFill>
                  <a:schemeClr val="dk1"/>
                </a:solidFill>
                <a:effectLst/>
                <a:latin typeface="+mn-lt"/>
                <a:ea typeface="+mn-ea"/>
                <a:cs typeface="+mn-cs"/>
              </a:rPr>
              <a:t>BOM</a:t>
            </a:r>
          </a:p>
          <a:p>
            <a:r>
              <a:rPr lang="zh-CN" altLang="zh-CN" sz="1100">
                <a:solidFill>
                  <a:schemeClr val="dk1"/>
                </a:solidFill>
                <a:effectLst/>
                <a:latin typeface="+mn-lt"/>
                <a:ea typeface="+mn-ea"/>
                <a:cs typeface="+mn-cs"/>
              </a:rPr>
              <a:t>◇</a:t>
            </a:r>
            <a:r>
              <a:rPr lang="zh-CN" altLang="en-US" sz="1100">
                <a:solidFill>
                  <a:schemeClr val="dk1"/>
                </a:solidFill>
                <a:effectLst/>
                <a:latin typeface="+mn-lt"/>
                <a:ea typeface="+mn-ea"/>
                <a:cs typeface="+mn-cs"/>
              </a:rPr>
              <a:t>残空间计算</a:t>
            </a:r>
            <a:endParaRPr lang="en-US" altLang="zh-CN" sz="1100">
              <a:solidFill>
                <a:schemeClr val="dk1"/>
              </a:solidFill>
              <a:effectLst/>
              <a:latin typeface="+mn-lt"/>
              <a:ea typeface="+mn-ea"/>
              <a:cs typeface="+mn-cs"/>
            </a:endParaRPr>
          </a:p>
          <a:p>
            <a:r>
              <a:rPr lang="zh-CN" altLang="zh-CN" sz="1100">
                <a:solidFill>
                  <a:schemeClr val="dk1"/>
                </a:solidFill>
                <a:effectLst/>
                <a:latin typeface="+mn-lt"/>
                <a:ea typeface="+mn-ea"/>
                <a:cs typeface="+mn-cs"/>
              </a:rPr>
              <a:t>◇</a:t>
            </a:r>
            <a:r>
              <a:rPr lang="zh-CN" altLang="en-US" sz="1100">
                <a:solidFill>
                  <a:schemeClr val="dk1"/>
                </a:solidFill>
                <a:effectLst/>
                <a:latin typeface="+mn-lt"/>
                <a:ea typeface="+mn-ea"/>
                <a:cs typeface="+mn-cs"/>
              </a:rPr>
              <a:t>极耳错位</a:t>
            </a:r>
            <a:endParaRPr lang="en-US" altLang="zh-CN" sz="110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zh-CN" altLang="zh-CN" sz="1100">
                <a:solidFill>
                  <a:schemeClr val="dk1"/>
                </a:solidFill>
                <a:effectLst/>
                <a:latin typeface="+mn-lt"/>
                <a:ea typeface="+mn-ea"/>
                <a:cs typeface="+mn-cs"/>
              </a:rPr>
              <a:t>◇</a:t>
            </a:r>
            <a:r>
              <a:rPr lang="en-US" altLang="zh-CN" sz="1100">
                <a:solidFill>
                  <a:schemeClr val="dk1"/>
                </a:solidFill>
                <a:effectLst/>
                <a:latin typeface="+mn-lt"/>
                <a:ea typeface="+mn-ea"/>
                <a:cs typeface="+mn-cs"/>
              </a:rPr>
              <a:t>Cell Weight</a:t>
            </a:r>
            <a:endParaRPr lang="zh-CN" altLang="zh-CN">
              <a:effectLst/>
            </a:endParaRPr>
          </a:p>
        </xdr:txBody>
      </xdr:sp>
    </xdr:grpSp>
    <xdr:clientData/>
  </xdr:twoCellAnchor>
</xdr:wsDr>
</file>

<file path=xl/drawings/drawing2.xml><?xml version="1.0" encoding="utf-8"?>
<xdr:wsDr xmlns:xdr="http://schemas.openxmlformats.org/drawingml/2006/spreadsheetDrawing" xmlns:a="http://schemas.openxmlformats.org/drawingml/2006/main">
  <xdr:twoCellAnchor>
    <xdr:from>
      <xdr:col>6</xdr:col>
      <xdr:colOff>352424</xdr:colOff>
      <xdr:row>88</xdr:row>
      <xdr:rowOff>0</xdr:rowOff>
    </xdr:from>
    <xdr:to>
      <xdr:col>7</xdr:col>
      <xdr:colOff>0</xdr:colOff>
      <xdr:row>105</xdr:row>
      <xdr:rowOff>76200</xdr:rowOff>
    </xdr:to>
    <xdr:grpSp>
      <xdr:nvGrpSpPr>
        <xdr:cNvPr id="15" name="组合 14"/>
        <xdr:cNvGrpSpPr/>
      </xdr:nvGrpSpPr>
      <xdr:grpSpPr>
        <a:xfrm>
          <a:off x="5295899" y="16916400"/>
          <a:ext cx="409576" cy="3314700"/>
          <a:chOff x="5343524" y="8934450"/>
          <a:chExt cx="6076951" cy="3771900"/>
        </a:xfrm>
      </xdr:grpSpPr>
      <xdr:pic>
        <xdr:nvPicPr>
          <xdr:cNvPr id="9" name="图片 8"/>
          <xdr:cNvPicPr>
            <a:picLocks noChangeAspect="1"/>
          </xdr:cNvPicPr>
        </xdr:nvPicPr>
        <xdr:blipFill>
          <a:blip xmlns:r="http://schemas.openxmlformats.org/officeDocument/2006/relationships" r:embed="rId1"/>
          <a:stretch>
            <a:fillRect/>
          </a:stretch>
        </xdr:blipFill>
        <xdr:spPr>
          <a:xfrm>
            <a:off x="5343524" y="8943975"/>
            <a:ext cx="6067426" cy="3762375"/>
          </a:xfrm>
          <a:prstGeom prst="rect">
            <a:avLst/>
          </a:prstGeom>
          <a:ln>
            <a:solidFill>
              <a:schemeClr val="bg1">
                <a:lumMod val="50000"/>
              </a:schemeClr>
            </a:solidFill>
          </a:ln>
        </xdr:spPr>
      </xdr:pic>
      <xdr:sp macro="" textlink="">
        <xdr:nvSpPr>
          <xdr:cNvPr id="13" name="TextBox 12"/>
          <xdr:cNvSpPr txBox="1"/>
        </xdr:nvSpPr>
        <xdr:spPr>
          <a:xfrm>
            <a:off x="9477375" y="8934450"/>
            <a:ext cx="1943100" cy="238125"/>
          </a:xfrm>
          <a:prstGeom prst="rect">
            <a:avLst/>
          </a:prstGeom>
          <a:solidFill>
            <a:schemeClr val="accent6"/>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zh-CN" altLang="en-US" sz="900"/>
              <a:t>顶盖爆炸图</a:t>
            </a:r>
          </a:p>
        </xdr:txBody>
      </xdr:sp>
    </xdr:grpSp>
    <xdr:clientData/>
  </xdr:twoCellAnchor>
  <xdr:twoCellAnchor>
    <xdr:from>
      <xdr:col>1</xdr:col>
      <xdr:colOff>171450</xdr:colOff>
      <xdr:row>69</xdr:row>
      <xdr:rowOff>72390</xdr:rowOff>
    </xdr:from>
    <xdr:to>
      <xdr:col>6</xdr:col>
      <xdr:colOff>180974</xdr:colOff>
      <xdr:row>87</xdr:row>
      <xdr:rowOff>81915</xdr:rowOff>
    </xdr:to>
    <xdr:grpSp>
      <xdr:nvGrpSpPr>
        <xdr:cNvPr id="189" name="组合 188"/>
        <xdr:cNvGrpSpPr/>
      </xdr:nvGrpSpPr>
      <xdr:grpSpPr>
        <a:xfrm>
          <a:off x="409575" y="13369290"/>
          <a:ext cx="4714874" cy="3438525"/>
          <a:chOff x="238125" y="15230475"/>
          <a:chExt cx="4952999" cy="3438525"/>
        </a:xfrm>
      </xdr:grpSpPr>
      <xdr:pic>
        <xdr:nvPicPr>
          <xdr:cNvPr id="10" name="图片 9"/>
          <xdr:cNvPicPr>
            <a:picLocks noChangeAspect="1"/>
          </xdr:cNvPicPr>
        </xdr:nvPicPr>
        <xdr:blipFill>
          <a:blip xmlns:r="http://schemas.openxmlformats.org/officeDocument/2006/relationships" r:embed="rId2"/>
          <a:stretch>
            <a:fillRect/>
          </a:stretch>
        </xdr:blipFill>
        <xdr:spPr>
          <a:xfrm>
            <a:off x="238125" y="15230475"/>
            <a:ext cx="4952999" cy="3438525"/>
          </a:xfrm>
          <a:prstGeom prst="rect">
            <a:avLst/>
          </a:prstGeom>
          <a:ln>
            <a:solidFill>
              <a:schemeClr val="bg1">
                <a:lumMod val="50000"/>
              </a:schemeClr>
            </a:solidFill>
          </a:ln>
        </xdr:spPr>
      </xdr:pic>
      <xdr:sp macro="" textlink="">
        <xdr:nvSpPr>
          <xdr:cNvPr id="187" name="TextBox 186"/>
          <xdr:cNvSpPr txBox="1"/>
        </xdr:nvSpPr>
        <xdr:spPr>
          <a:xfrm>
            <a:off x="238125" y="15230475"/>
            <a:ext cx="1943100" cy="238125"/>
          </a:xfrm>
          <a:prstGeom prst="rect">
            <a:avLst/>
          </a:prstGeom>
          <a:solidFill>
            <a:schemeClr val="accent6"/>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zh-CN" sz="900"/>
              <a:t>Cell</a:t>
            </a:r>
            <a:r>
              <a:rPr lang="en-US" altLang="zh-CN" sz="900" baseline="0"/>
              <a:t> </a:t>
            </a:r>
            <a:r>
              <a:rPr lang="zh-CN" altLang="en-US" sz="900" baseline="0"/>
              <a:t>外部组件</a:t>
            </a:r>
            <a:r>
              <a:rPr lang="zh-CN" altLang="en-US" sz="900"/>
              <a:t>爆炸图</a:t>
            </a:r>
          </a:p>
        </xdr:txBody>
      </xdr:sp>
    </xdr:grpSp>
    <xdr:clientData/>
  </xdr:twoCellAnchor>
  <xdr:twoCellAnchor>
    <xdr:from>
      <xdr:col>6</xdr:col>
      <xdr:colOff>352425</xdr:colOff>
      <xdr:row>69</xdr:row>
      <xdr:rowOff>57150</xdr:rowOff>
    </xdr:from>
    <xdr:to>
      <xdr:col>7</xdr:col>
      <xdr:colOff>0</xdr:colOff>
      <xdr:row>87</xdr:row>
      <xdr:rowOff>85725</xdr:rowOff>
    </xdr:to>
    <xdr:grpSp>
      <xdr:nvGrpSpPr>
        <xdr:cNvPr id="190" name="组合 189"/>
        <xdr:cNvGrpSpPr/>
      </xdr:nvGrpSpPr>
      <xdr:grpSpPr>
        <a:xfrm>
          <a:off x="5295900" y="13354050"/>
          <a:ext cx="409575" cy="3457575"/>
          <a:chOff x="5343525" y="12906375"/>
          <a:chExt cx="6067425" cy="3494071"/>
        </a:xfrm>
      </xdr:grpSpPr>
      <xdr:pic>
        <xdr:nvPicPr>
          <xdr:cNvPr id="5" name="图片 4"/>
          <xdr:cNvPicPr>
            <a:picLocks noChangeAspect="1"/>
          </xdr:cNvPicPr>
        </xdr:nvPicPr>
        <xdr:blipFill>
          <a:blip xmlns:r="http://schemas.openxmlformats.org/officeDocument/2006/relationships" r:embed="rId3"/>
          <a:stretch>
            <a:fillRect/>
          </a:stretch>
        </xdr:blipFill>
        <xdr:spPr>
          <a:xfrm>
            <a:off x="5343525" y="12925425"/>
            <a:ext cx="6057900" cy="3475021"/>
          </a:xfrm>
          <a:prstGeom prst="rect">
            <a:avLst/>
          </a:prstGeom>
          <a:ln>
            <a:solidFill>
              <a:schemeClr val="bg1">
                <a:lumMod val="50000"/>
              </a:schemeClr>
            </a:solidFill>
          </a:ln>
        </xdr:spPr>
      </xdr:pic>
      <xdr:sp macro="" textlink="">
        <xdr:nvSpPr>
          <xdr:cNvPr id="188" name="TextBox 187"/>
          <xdr:cNvSpPr txBox="1"/>
        </xdr:nvSpPr>
        <xdr:spPr>
          <a:xfrm>
            <a:off x="9467850" y="12906375"/>
            <a:ext cx="1943100" cy="238125"/>
          </a:xfrm>
          <a:prstGeom prst="rect">
            <a:avLst/>
          </a:prstGeom>
          <a:solidFill>
            <a:schemeClr val="accent6"/>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zh-CN" sz="900"/>
              <a:t>Cell</a:t>
            </a:r>
            <a:r>
              <a:rPr lang="en-US" altLang="zh-CN" sz="900" baseline="0"/>
              <a:t> </a:t>
            </a:r>
            <a:r>
              <a:rPr lang="zh-CN" altLang="en-US" sz="900" baseline="0"/>
              <a:t>内部组件</a:t>
            </a:r>
            <a:r>
              <a:rPr lang="zh-CN" altLang="en-US" sz="900"/>
              <a:t>爆炸图</a:t>
            </a:r>
          </a:p>
        </xdr:txBody>
      </xdr:sp>
    </xdr:grpSp>
    <xdr:clientData/>
  </xdr:twoCellAnchor>
  <xdr:twoCellAnchor>
    <xdr:from>
      <xdr:col>1</xdr:col>
      <xdr:colOff>152401</xdr:colOff>
      <xdr:row>88</xdr:row>
      <xdr:rowOff>28575</xdr:rowOff>
    </xdr:from>
    <xdr:to>
      <xdr:col>6</xdr:col>
      <xdr:colOff>152400</xdr:colOff>
      <xdr:row>99</xdr:row>
      <xdr:rowOff>78105</xdr:rowOff>
    </xdr:to>
    <xdr:grpSp>
      <xdr:nvGrpSpPr>
        <xdr:cNvPr id="7" name="组合 6"/>
        <xdr:cNvGrpSpPr/>
      </xdr:nvGrpSpPr>
      <xdr:grpSpPr>
        <a:xfrm>
          <a:off x="390526" y="16944975"/>
          <a:ext cx="4705349" cy="2145030"/>
          <a:chOff x="5353050" y="16497300"/>
          <a:chExt cx="6315075" cy="2152650"/>
        </a:xfrm>
      </xdr:grpSpPr>
      <xdr:pic>
        <xdr:nvPicPr>
          <xdr:cNvPr id="191" name="图片 1" descr="cid:image001.png@01D23427.E3543040"/>
          <xdr:cNvPicPr>
            <a:picLocks noChangeAspect="1" noChangeArrowheads="1"/>
          </xdr:cNvPicPr>
        </xdr:nvPicPr>
        <xdr:blipFill>
          <a:blip xmlns:r="http://schemas.openxmlformats.org/officeDocument/2006/relationships" r:embed="rId4" r:link="rId5">
            <a:extLst>
              <a:ext uri="{28A0092B-C50C-407E-A947-70E740481C1C}">
                <a14:useLocalDpi xmlns:a14="http://schemas.microsoft.com/office/drawing/2010/main" val="0"/>
              </a:ext>
            </a:extLst>
          </a:blip>
          <a:srcRect/>
          <a:stretch>
            <a:fillRect/>
          </a:stretch>
        </xdr:blipFill>
        <xdr:spPr bwMode="auto">
          <a:xfrm>
            <a:off x="5353050" y="16497300"/>
            <a:ext cx="6315075" cy="2152650"/>
          </a:xfrm>
          <a:prstGeom prst="rect">
            <a:avLst/>
          </a:prstGeom>
          <a:noFill/>
          <a:ln>
            <a:solidFill>
              <a:schemeClr val="bg1">
                <a:lumMod val="50000"/>
              </a:schemeClr>
            </a:solidFill>
          </a:ln>
          <a:extLst>
            <a:ext uri="{909E8E84-426E-40DD-AFC4-6F175D3DCCD1}">
              <a14:hiddenFill xmlns:a14="http://schemas.microsoft.com/office/drawing/2010/main">
                <a:solidFill>
                  <a:srgbClr val="FFFFFF"/>
                </a:solidFill>
              </a14:hiddenFill>
            </a:ext>
          </a:extLst>
        </xdr:spPr>
      </xdr:pic>
      <xdr:sp macro="" textlink="">
        <xdr:nvSpPr>
          <xdr:cNvPr id="192" name="TextBox 191"/>
          <xdr:cNvSpPr txBox="1"/>
        </xdr:nvSpPr>
        <xdr:spPr>
          <a:xfrm>
            <a:off x="9448800" y="16497300"/>
            <a:ext cx="2209800" cy="238125"/>
          </a:xfrm>
          <a:prstGeom prst="rect">
            <a:avLst/>
          </a:prstGeom>
          <a:solidFill>
            <a:schemeClr val="accent6"/>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en-US" altLang="zh-CN" sz="900"/>
              <a:t>Al</a:t>
            </a:r>
            <a:r>
              <a:rPr lang="zh-CN" altLang="en-US" sz="900"/>
              <a:t>软连接及</a:t>
            </a:r>
            <a:r>
              <a:rPr lang="en-US" altLang="zh-CN" sz="900"/>
              <a:t>PET</a:t>
            </a:r>
            <a:r>
              <a:rPr lang="zh-CN" altLang="en-US" sz="900"/>
              <a:t>弹片示意图</a:t>
            </a:r>
          </a:p>
        </xdr:txBody>
      </xdr:sp>
    </xdr:grpSp>
    <xdr:clientData/>
  </xdr:twoCellAnchor>
  <xdr:twoCellAnchor>
    <xdr:from>
      <xdr:col>0</xdr:col>
      <xdr:colOff>200026</xdr:colOff>
      <xdr:row>53</xdr:row>
      <xdr:rowOff>0</xdr:rowOff>
    </xdr:from>
    <xdr:to>
      <xdr:col>0</xdr:col>
      <xdr:colOff>200026</xdr:colOff>
      <xdr:row>53</xdr:row>
      <xdr:rowOff>0</xdr:rowOff>
    </xdr:to>
    <xdr:cxnSp macro="">
      <xdr:nvCxnSpPr>
        <xdr:cNvPr id="22" name="直接连接符 21"/>
        <xdr:cNvCxnSpPr/>
      </xdr:nvCxnSpPr>
      <xdr:spPr>
        <a:xfrm>
          <a:off x="200026" y="5412105"/>
          <a:ext cx="0" cy="2527935"/>
        </a:xfrm>
        <a:prstGeom prst="line">
          <a:avLst/>
        </a:prstGeom>
        <a:ln w="28575">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0</xdr:colOff>
      <xdr:row>50</xdr:row>
      <xdr:rowOff>0</xdr:rowOff>
    </xdr:from>
    <xdr:to>
      <xdr:col>7</xdr:col>
      <xdr:colOff>0</xdr:colOff>
      <xdr:row>67</xdr:row>
      <xdr:rowOff>114300</xdr:rowOff>
    </xdr:to>
    <xdr:grpSp>
      <xdr:nvGrpSpPr>
        <xdr:cNvPr id="45" name="组合 44"/>
        <xdr:cNvGrpSpPr/>
      </xdr:nvGrpSpPr>
      <xdr:grpSpPr>
        <a:xfrm>
          <a:off x="238125" y="9677400"/>
          <a:ext cx="5467350" cy="3352800"/>
          <a:chOff x="314325" y="1257300"/>
          <a:chExt cx="5400675" cy="3352800"/>
        </a:xfrm>
      </xdr:grpSpPr>
      <xdr:grpSp>
        <xdr:nvGrpSpPr>
          <xdr:cNvPr id="46" name="组合 45"/>
          <xdr:cNvGrpSpPr/>
        </xdr:nvGrpSpPr>
        <xdr:grpSpPr>
          <a:xfrm>
            <a:off x="314325" y="1466850"/>
            <a:ext cx="5400675" cy="3143250"/>
            <a:chOff x="314325" y="1466850"/>
            <a:chExt cx="5400675" cy="3143250"/>
          </a:xfrm>
        </xdr:grpSpPr>
        <xdr:pic>
          <xdr:nvPicPr>
            <xdr:cNvPr id="48" name="Picture 2"/>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14325" y="1514475"/>
              <a:ext cx="5400675" cy="3016506"/>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xnSp macro="">
          <xdr:nvCxnSpPr>
            <xdr:cNvPr id="49" name="直接连接符 48"/>
            <xdr:cNvCxnSpPr/>
          </xdr:nvCxnSpPr>
          <xdr:spPr>
            <a:xfrm>
              <a:off x="4772025" y="1466850"/>
              <a:ext cx="0" cy="3143250"/>
            </a:xfrm>
            <a:prstGeom prst="line">
              <a:avLst/>
            </a:prstGeom>
            <a:ln w="19050">
              <a:solidFill>
                <a:sysClr val="windowText" lastClr="000000"/>
              </a:solidFill>
              <a:prstDash val="dash"/>
            </a:ln>
          </xdr:spPr>
          <xdr:style>
            <a:lnRef idx="1">
              <a:schemeClr val="accent1"/>
            </a:lnRef>
            <a:fillRef idx="0">
              <a:schemeClr val="accent1"/>
            </a:fillRef>
            <a:effectRef idx="0">
              <a:schemeClr val="accent1"/>
            </a:effectRef>
            <a:fontRef idx="minor">
              <a:schemeClr val="tx1"/>
            </a:fontRef>
          </xdr:style>
        </xdr:cxnSp>
        <xdr:cxnSp macro="">
          <xdr:nvCxnSpPr>
            <xdr:cNvPr id="50" name="直接连接符 49"/>
            <xdr:cNvCxnSpPr/>
          </xdr:nvCxnSpPr>
          <xdr:spPr>
            <a:xfrm>
              <a:off x="4772025" y="1476375"/>
              <a:ext cx="304800" cy="0"/>
            </a:xfrm>
            <a:prstGeom prst="line">
              <a:avLst/>
            </a:prstGeom>
            <a:ln w="1905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51" name="直接连接符 50"/>
            <xdr:cNvCxnSpPr/>
          </xdr:nvCxnSpPr>
          <xdr:spPr>
            <a:xfrm>
              <a:off x="4772025" y="4600575"/>
              <a:ext cx="314325" cy="0"/>
            </a:xfrm>
            <a:prstGeom prst="line">
              <a:avLst/>
            </a:prstGeom>
            <a:ln w="1905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47" name="TextBox 46"/>
          <xdr:cNvSpPr txBox="1"/>
        </xdr:nvSpPr>
        <xdr:spPr>
          <a:xfrm>
            <a:off x="4638675" y="1257300"/>
            <a:ext cx="495300" cy="2000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lang="zh-CN" altLang="en-US" sz="800"/>
              <a:t>剖面</a:t>
            </a:r>
          </a:p>
        </xdr:txBody>
      </xdr:sp>
    </xdr:grpSp>
    <xdr:clientData/>
  </xdr:twoCellAnchor>
</xdr:wsDr>
</file>

<file path=xl/drawings/drawing3.xml><?xml version="1.0" encoding="utf-8"?>
<xdr:wsDr xmlns:xdr="http://schemas.openxmlformats.org/drawingml/2006/spreadsheetDrawing" xmlns:a="http://schemas.openxmlformats.org/drawingml/2006/main">
  <xdr:twoCellAnchor>
    <xdr:from>
      <xdr:col>8</xdr:col>
      <xdr:colOff>287866</xdr:colOff>
      <xdr:row>56</xdr:row>
      <xdr:rowOff>171450</xdr:rowOff>
    </xdr:from>
    <xdr:to>
      <xdr:col>12</xdr:col>
      <xdr:colOff>602191</xdr:colOff>
      <xdr:row>61</xdr:row>
      <xdr:rowOff>38100</xdr:rowOff>
    </xdr:to>
    <xdr:grpSp>
      <xdr:nvGrpSpPr>
        <xdr:cNvPr id="2" name="组合 1"/>
        <xdr:cNvGrpSpPr/>
      </xdr:nvGrpSpPr>
      <xdr:grpSpPr>
        <a:xfrm>
          <a:off x="6450541" y="12087225"/>
          <a:ext cx="3324225" cy="866775"/>
          <a:chOff x="6715125" y="13401675"/>
          <a:chExt cx="3124200" cy="1009650"/>
        </a:xfrm>
      </xdr:grpSpPr>
      <xdr:sp macro="" textlink="">
        <xdr:nvSpPr>
          <xdr:cNvPr id="3" name="圆角矩形 2"/>
          <xdr:cNvSpPr/>
        </xdr:nvSpPr>
        <xdr:spPr bwMode="auto">
          <a:xfrm>
            <a:off x="6715125" y="13401675"/>
            <a:ext cx="3114675" cy="247650"/>
          </a:xfrm>
          <a:prstGeom prst="roundRect">
            <a:avLst/>
          </a:prstGeom>
          <a:noFill/>
          <a:ln w="9525">
            <a:solidFill>
              <a:schemeClr val="accent6"/>
            </a:solidFill>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sp macro="" textlink="">
        <xdr:nvSpPr>
          <xdr:cNvPr id="4" name="圆角矩形 3"/>
          <xdr:cNvSpPr/>
        </xdr:nvSpPr>
        <xdr:spPr bwMode="auto">
          <a:xfrm>
            <a:off x="6724650" y="13649325"/>
            <a:ext cx="3114675" cy="247650"/>
          </a:xfrm>
          <a:prstGeom prst="roundRect">
            <a:avLst/>
          </a:prstGeom>
          <a:noFill/>
          <a:ln w="9525">
            <a:solidFill>
              <a:schemeClr val="accent6"/>
            </a:solidFill>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sp macro="" textlink="">
        <xdr:nvSpPr>
          <xdr:cNvPr id="5" name="圆角矩形 4"/>
          <xdr:cNvSpPr/>
        </xdr:nvSpPr>
        <xdr:spPr bwMode="auto">
          <a:xfrm>
            <a:off x="6724650" y="14163675"/>
            <a:ext cx="3114675" cy="247650"/>
          </a:xfrm>
          <a:prstGeom prst="roundRect">
            <a:avLst/>
          </a:prstGeom>
          <a:noFill/>
          <a:ln w="9525">
            <a:solidFill>
              <a:schemeClr val="accent6"/>
            </a:solidFill>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grpSp>
    <xdr:clientData/>
  </xdr:twoCellAnchor>
  <xdr:twoCellAnchor>
    <xdr:from>
      <xdr:col>8</xdr:col>
      <xdr:colOff>0</xdr:colOff>
      <xdr:row>56</xdr:row>
      <xdr:rowOff>0</xdr:rowOff>
    </xdr:from>
    <xdr:to>
      <xdr:col>13</xdr:col>
      <xdr:colOff>180962</xdr:colOff>
      <xdr:row>62</xdr:row>
      <xdr:rowOff>9525</xdr:rowOff>
    </xdr:to>
    <xdr:grpSp>
      <xdr:nvGrpSpPr>
        <xdr:cNvPr id="6" name="组合 5"/>
        <xdr:cNvGrpSpPr/>
      </xdr:nvGrpSpPr>
      <xdr:grpSpPr>
        <a:xfrm>
          <a:off x="6162675" y="11915775"/>
          <a:ext cx="4057637" cy="1219200"/>
          <a:chOff x="6472809" y="13296900"/>
          <a:chExt cx="3734690" cy="1352550"/>
        </a:xfrm>
      </xdr:grpSpPr>
      <xdr:grpSp>
        <xdr:nvGrpSpPr>
          <xdr:cNvPr id="7" name="组合 6"/>
          <xdr:cNvGrpSpPr/>
        </xdr:nvGrpSpPr>
        <xdr:grpSpPr>
          <a:xfrm>
            <a:off x="8191500" y="14011275"/>
            <a:ext cx="838200" cy="207644"/>
            <a:chOff x="8191500" y="14011275"/>
            <a:chExt cx="838200" cy="207644"/>
          </a:xfrm>
        </xdr:grpSpPr>
        <xdr:sp macro="" textlink="">
          <xdr:nvSpPr>
            <xdr:cNvPr id="18" name="椭圆 17"/>
            <xdr:cNvSpPr/>
          </xdr:nvSpPr>
          <xdr:spPr bwMode="auto">
            <a:xfrm>
              <a:off x="8191500" y="14011275"/>
              <a:ext cx="45719" cy="45719"/>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sp macro="" textlink="">
          <xdr:nvSpPr>
            <xdr:cNvPr id="19" name="椭圆 18"/>
            <xdr:cNvSpPr/>
          </xdr:nvSpPr>
          <xdr:spPr bwMode="auto">
            <a:xfrm>
              <a:off x="8191500" y="14097000"/>
              <a:ext cx="45719" cy="45719"/>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sp macro="" textlink="">
          <xdr:nvSpPr>
            <xdr:cNvPr id="20" name="椭圆 19"/>
            <xdr:cNvSpPr/>
          </xdr:nvSpPr>
          <xdr:spPr bwMode="auto">
            <a:xfrm>
              <a:off x="8191500" y="14173200"/>
              <a:ext cx="45719" cy="45719"/>
            </a:xfrm>
            <a:prstGeom prst="ellipse">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sp macro="" textlink="">
          <xdr:nvSpPr>
            <xdr:cNvPr id="21" name="TextBox 20"/>
            <xdr:cNvSpPr txBox="1"/>
          </xdr:nvSpPr>
          <xdr:spPr>
            <a:xfrm>
              <a:off x="8372475" y="14039850"/>
              <a:ext cx="657225" cy="1714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altLang="zh-CN" sz="1100"/>
                <a:t>N</a:t>
              </a:r>
              <a:r>
                <a:rPr lang="zh-CN" altLang="en-US" sz="1100"/>
                <a:t>个</a:t>
              </a:r>
              <a:r>
                <a:rPr lang="en-US" altLang="zh-CN" sz="1100"/>
                <a:t>JR</a:t>
              </a:r>
              <a:endParaRPr lang="zh-CN" altLang="en-US" sz="1100"/>
            </a:p>
          </xdr:txBody>
        </xdr:sp>
      </xdr:grpSp>
      <xdr:grpSp>
        <xdr:nvGrpSpPr>
          <xdr:cNvPr id="8" name="组合 7"/>
          <xdr:cNvGrpSpPr/>
        </xdr:nvGrpSpPr>
        <xdr:grpSpPr>
          <a:xfrm>
            <a:off x="8134350" y="13296900"/>
            <a:ext cx="476250" cy="180975"/>
            <a:chOff x="8134350" y="13296900"/>
            <a:chExt cx="476250" cy="180975"/>
          </a:xfrm>
        </xdr:grpSpPr>
        <xdr:cxnSp macro="">
          <xdr:nvCxnSpPr>
            <xdr:cNvPr id="16" name="直接箭头连接符 15"/>
            <xdr:cNvCxnSpPr/>
          </xdr:nvCxnSpPr>
          <xdr:spPr>
            <a:xfrm>
              <a:off x="8134350" y="13296900"/>
              <a:ext cx="0" cy="180000"/>
            </a:xfrm>
            <a:prstGeom prst="straightConnector1">
              <a:avLst/>
            </a:prstGeom>
            <a:ln w="3175">
              <a:headEnd type="triangle"/>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7" name="TextBox 16"/>
            <xdr:cNvSpPr txBox="1"/>
          </xdr:nvSpPr>
          <xdr:spPr>
            <a:xfrm>
              <a:off x="8134350" y="13306425"/>
              <a:ext cx="476250" cy="171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altLang="zh-CN" sz="1100"/>
                <a:t>a1</a:t>
              </a:r>
              <a:endParaRPr lang="zh-CN" altLang="en-US" sz="1100"/>
            </a:p>
          </xdr:txBody>
        </xdr:sp>
      </xdr:grpSp>
      <xdr:grpSp>
        <xdr:nvGrpSpPr>
          <xdr:cNvPr id="9" name="组合 8"/>
          <xdr:cNvGrpSpPr/>
        </xdr:nvGrpSpPr>
        <xdr:grpSpPr>
          <a:xfrm>
            <a:off x="8201025" y="14468475"/>
            <a:ext cx="533400" cy="180975"/>
            <a:chOff x="8201025" y="14468475"/>
            <a:chExt cx="533400" cy="180975"/>
          </a:xfrm>
        </xdr:grpSpPr>
        <xdr:cxnSp macro="">
          <xdr:nvCxnSpPr>
            <xdr:cNvPr id="14" name="直接箭头连接符 13"/>
            <xdr:cNvCxnSpPr/>
          </xdr:nvCxnSpPr>
          <xdr:spPr>
            <a:xfrm>
              <a:off x="8201025" y="14468475"/>
              <a:ext cx="0" cy="180000"/>
            </a:xfrm>
            <a:prstGeom prst="straightConnector1">
              <a:avLst/>
            </a:prstGeom>
            <a:ln w="3175">
              <a:headEnd type="triangle"/>
              <a:tailEnd type="triangle"/>
            </a:ln>
          </xdr:spPr>
          <xdr:style>
            <a:lnRef idx="1">
              <a:schemeClr val="accent1"/>
            </a:lnRef>
            <a:fillRef idx="0">
              <a:schemeClr val="accent1"/>
            </a:fillRef>
            <a:effectRef idx="0">
              <a:schemeClr val="accent1"/>
            </a:effectRef>
            <a:fontRef idx="minor">
              <a:schemeClr val="tx1"/>
            </a:fontRef>
          </xdr:style>
        </xdr:cxnSp>
        <xdr:sp macro="" textlink="">
          <xdr:nvSpPr>
            <xdr:cNvPr id="15" name="TextBox 14"/>
            <xdr:cNvSpPr txBox="1"/>
          </xdr:nvSpPr>
          <xdr:spPr>
            <a:xfrm>
              <a:off x="8258175" y="14478000"/>
              <a:ext cx="476250" cy="171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r>
                <a:rPr lang="en-US" altLang="zh-CN" sz="1100"/>
                <a:t>a2</a:t>
              </a:r>
              <a:endParaRPr lang="zh-CN" altLang="en-US" sz="1100"/>
            </a:p>
          </xdr:txBody>
        </xdr:sp>
      </xdr:grpSp>
      <xdr:sp macro="" textlink="">
        <xdr:nvSpPr>
          <xdr:cNvPr id="10" name="TextBox 9"/>
          <xdr:cNvSpPr txBox="1"/>
        </xdr:nvSpPr>
        <xdr:spPr>
          <a:xfrm>
            <a:off x="6472809" y="14047740"/>
            <a:ext cx="476250" cy="17145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altLang="zh-CN" sz="1100"/>
              <a:t>b1</a:t>
            </a:r>
            <a:endParaRPr lang="zh-CN" altLang="en-US" sz="1100"/>
          </a:p>
        </xdr:txBody>
      </xdr:sp>
      <xdr:grpSp>
        <xdr:nvGrpSpPr>
          <xdr:cNvPr id="11" name="组合 10"/>
          <xdr:cNvGrpSpPr/>
        </xdr:nvGrpSpPr>
        <xdr:grpSpPr>
          <a:xfrm>
            <a:off x="9731249" y="13916025"/>
            <a:ext cx="476250" cy="253752"/>
            <a:chOff x="9731249" y="13916025"/>
            <a:chExt cx="476250" cy="253752"/>
          </a:xfrm>
        </xdr:grpSpPr>
        <xdr:cxnSp macro="">
          <xdr:nvCxnSpPr>
            <xdr:cNvPr id="12" name="直接箭头连接符 11"/>
            <xdr:cNvCxnSpPr/>
          </xdr:nvCxnSpPr>
          <xdr:spPr>
            <a:xfrm>
              <a:off x="9761526" y="13916025"/>
              <a:ext cx="253675" cy="9525"/>
            </a:xfrm>
            <a:prstGeom prst="straightConnector1">
              <a:avLst/>
            </a:prstGeom>
            <a:noFill/>
            <a:ln w="3175" cap="flat" cmpd="sng" algn="ctr">
              <a:solidFill>
                <a:srgbClr val="4F81BD">
                  <a:shade val="95000"/>
                  <a:satMod val="105000"/>
                </a:srgbClr>
              </a:solidFill>
              <a:prstDash val="solid"/>
              <a:headEnd type="triangle"/>
              <a:tailEnd type="triangle"/>
            </a:ln>
            <a:effectLst/>
          </xdr:spPr>
        </xdr:cxnSp>
        <xdr:sp macro="" textlink="">
          <xdr:nvSpPr>
            <xdr:cNvPr id="13" name="TextBox 12"/>
            <xdr:cNvSpPr txBox="1"/>
          </xdr:nvSpPr>
          <xdr:spPr>
            <a:xfrm>
              <a:off x="9731249" y="13998327"/>
              <a:ext cx="476250" cy="1714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l"/>
              <a:r>
                <a:rPr lang="en-US" altLang="zh-CN" sz="1100"/>
                <a:t>b2</a:t>
              </a:r>
              <a:endParaRPr lang="zh-CN" altLang="en-US" sz="1100"/>
            </a:p>
          </xdr:txBody>
        </xdr:sp>
      </xdr:grpSp>
    </xdr:grpSp>
    <xdr:clientData/>
  </xdr:twoCellAnchor>
  <xdr:twoCellAnchor>
    <xdr:from>
      <xdr:col>8</xdr:col>
      <xdr:colOff>0</xdr:colOff>
      <xdr:row>59</xdr:row>
      <xdr:rowOff>0</xdr:rowOff>
    </xdr:from>
    <xdr:to>
      <xdr:col>8</xdr:col>
      <xdr:colOff>276225</xdr:colOff>
      <xdr:row>59</xdr:row>
      <xdr:rowOff>0</xdr:rowOff>
    </xdr:to>
    <xdr:cxnSp macro="">
      <xdr:nvCxnSpPr>
        <xdr:cNvPr id="22" name="直接箭头连接符 21"/>
        <xdr:cNvCxnSpPr/>
      </xdr:nvCxnSpPr>
      <xdr:spPr>
        <a:xfrm>
          <a:off x="5124450" y="12011025"/>
          <a:ext cx="276225" cy="0"/>
        </a:xfrm>
        <a:prstGeom prst="straightConnector1">
          <a:avLst/>
        </a:prstGeom>
        <a:noFill/>
        <a:ln w="3175" cap="flat" cmpd="sng" algn="ctr">
          <a:solidFill>
            <a:srgbClr val="4F81BD">
              <a:shade val="95000"/>
              <a:satMod val="105000"/>
            </a:srgbClr>
          </a:solidFill>
          <a:prstDash val="solid"/>
          <a:headEnd type="triangle"/>
          <a:tailEnd type="triangle"/>
        </a:ln>
        <a:effectLst/>
      </xdr:spPr>
    </xdr:cxnSp>
    <xdr:clientData/>
  </xdr:twoCellAnchor>
</xdr:wsDr>
</file>

<file path=xl/drawings/drawing4.xml><?xml version="1.0" encoding="utf-8"?>
<xdr:wsDr xmlns:xdr="http://schemas.openxmlformats.org/drawingml/2006/spreadsheetDrawing" xmlns:a="http://schemas.openxmlformats.org/drawingml/2006/main">
  <xdr:twoCellAnchor>
    <xdr:from>
      <xdr:col>1</xdr:col>
      <xdr:colOff>0</xdr:colOff>
      <xdr:row>5</xdr:row>
      <xdr:rowOff>0</xdr:rowOff>
    </xdr:from>
    <xdr:to>
      <xdr:col>8</xdr:col>
      <xdr:colOff>505401</xdr:colOff>
      <xdr:row>13</xdr:row>
      <xdr:rowOff>100211</xdr:rowOff>
    </xdr:to>
    <xdr:grpSp>
      <xdr:nvGrpSpPr>
        <xdr:cNvPr id="209" name="组合 208"/>
        <xdr:cNvGrpSpPr/>
      </xdr:nvGrpSpPr>
      <xdr:grpSpPr>
        <a:xfrm>
          <a:off x="171450" y="1057275"/>
          <a:ext cx="5753676" cy="1690886"/>
          <a:chOff x="152397" y="1079868"/>
          <a:chExt cx="5222181" cy="1639451"/>
        </a:xfrm>
      </xdr:grpSpPr>
      <xdr:grpSp>
        <xdr:nvGrpSpPr>
          <xdr:cNvPr id="210" name="组合 209"/>
          <xdr:cNvGrpSpPr/>
        </xdr:nvGrpSpPr>
        <xdr:grpSpPr>
          <a:xfrm>
            <a:off x="152397" y="1079868"/>
            <a:ext cx="5222181" cy="1639451"/>
            <a:chOff x="11801476" y="2034153"/>
            <a:chExt cx="5220285" cy="1595635"/>
          </a:xfrm>
        </xdr:grpSpPr>
        <xdr:sp macro="" textlink="">
          <xdr:nvSpPr>
            <xdr:cNvPr id="215" name="Line 25"/>
            <xdr:cNvSpPr>
              <a:spLocks noChangeShapeType="1"/>
            </xdr:cNvSpPr>
          </xdr:nvSpPr>
          <xdr:spPr bwMode="auto">
            <a:xfrm>
              <a:off x="12596815" y="2109818"/>
              <a:ext cx="1509711"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grpSp>
          <xdr:nvGrpSpPr>
            <xdr:cNvPr id="216" name="组合 215"/>
            <xdr:cNvGrpSpPr/>
          </xdr:nvGrpSpPr>
          <xdr:grpSpPr>
            <a:xfrm>
              <a:off x="11801476" y="2034153"/>
              <a:ext cx="5220285" cy="1595635"/>
              <a:chOff x="11801476" y="2034153"/>
              <a:chExt cx="5220285" cy="1595635"/>
            </a:xfrm>
          </xdr:grpSpPr>
          <xdr:sp macro="" textlink="">
            <xdr:nvSpPr>
              <xdr:cNvPr id="217" name="Line 25"/>
              <xdr:cNvSpPr>
                <a:spLocks noChangeShapeType="1"/>
              </xdr:cNvSpPr>
            </xdr:nvSpPr>
            <xdr:spPr bwMode="auto">
              <a:xfrm>
                <a:off x="12634913" y="2273198"/>
                <a:ext cx="3622447"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grpSp>
            <xdr:nvGrpSpPr>
              <xdr:cNvPr id="218" name="组合 217"/>
              <xdr:cNvGrpSpPr/>
            </xdr:nvGrpSpPr>
            <xdr:grpSpPr>
              <a:xfrm>
                <a:off x="11801476" y="2034153"/>
                <a:ext cx="5220285" cy="1595635"/>
                <a:chOff x="11801476" y="2034153"/>
                <a:chExt cx="5220285" cy="1595635"/>
              </a:xfrm>
            </xdr:grpSpPr>
            <xdr:sp macro="" textlink="">
              <xdr:nvSpPr>
                <xdr:cNvPr id="219" name="Line 25"/>
                <xdr:cNvSpPr>
                  <a:spLocks noChangeShapeType="1"/>
                </xdr:cNvSpPr>
              </xdr:nvSpPr>
              <xdr:spPr bwMode="auto">
                <a:xfrm>
                  <a:off x="12628785" y="2497441"/>
                  <a:ext cx="3620865"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grpSp>
              <xdr:nvGrpSpPr>
                <xdr:cNvPr id="220" name="组合 219"/>
                <xdr:cNvGrpSpPr/>
              </xdr:nvGrpSpPr>
              <xdr:grpSpPr>
                <a:xfrm>
                  <a:off x="11801476" y="2034153"/>
                  <a:ext cx="5220285" cy="1595635"/>
                  <a:chOff x="12030076" y="1400741"/>
                  <a:chExt cx="5220285" cy="1595635"/>
                </a:xfrm>
              </xdr:grpSpPr>
              <xdr:sp macro="" textlink="">
                <xdr:nvSpPr>
                  <xdr:cNvPr id="221" name="弦形 220"/>
                  <xdr:cNvSpPr/>
                </xdr:nvSpPr>
                <xdr:spPr bwMode="auto">
                  <a:xfrm>
                    <a:off x="12835072" y="2136458"/>
                    <a:ext cx="3613922" cy="179267"/>
                  </a:xfrm>
                  <a:prstGeom prst="chord">
                    <a:avLst>
                      <a:gd name="adj1" fmla="val 5403397"/>
                      <a:gd name="adj2" fmla="val 16200000"/>
                    </a:avLst>
                  </a:prstGeom>
                  <a:solidFill>
                    <a:schemeClr val="tx1">
                      <a:lumMod val="50000"/>
                      <a:lumOff val="50000"/>
                    </a:schemeClr>
                  </a:solidFill>
                  <a:ln w="9525">
                    <a:solidFill>
                      <a:schemeClr val="bg1"/>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22" name="Line 105"/>
                  <xdr:cNvSpPr>
                    <a:spLocks noChangeShapeType="1"/>
                  </xdr:cNvSpPr>
                </xdr:nvSpPr>
                <xdr:spPr bwMode="auto">
                  <a:xfrm flipV="1">
                    <a:off x="14661412" y="2164311"/>
                    <a:ext cx="0" cy="156495"/>
                  </a:xfrm>
                  <a:prstGeom prst="line">
                    <a:avLst/>
                  </a:prstGeom>
                  <a:noFill/>
                  <a:ln w="9525">
                    <a:solidFill>
                      <a:srgbClr xmlns:mc="http://schemas.openxmlformats.org/markup-compatibility/2006" xmlns:a14="http://schemas.microsoft.com/office/drawing/2010/main" val="333333" mc:Ignorable="a14" a14:legacySpreadsheetColorIndex="63"/>
                    </a:solidFill>
                    <a:prstDash val="dash"/>
                    <a:round/>
                    <a:headEnd/>
                    <a:tailEnd/>
                  </a:ln>
                  <a:extLst>
                    <a:ext uri="{909E8E84-426E-40DD-AFC4-6F175D3DCCD1}">
                      <a14:hiddenFill xmlns:a14="http://schemas.microsoft.com/office/drawing/2010/main">
                        <a:noFill/>
                      </a14:hiddenFill>
                    </a:ext>
                  </a:extLst>
                </xdr:spPr>
              </xdr:sp>
              <xdr:sp macro="" textlink="">
                <xdr:nvSpPr>
                  <xdr:cNvPr id="223" name="Line 105"/>
                  <xdr:cNvSpPr>
                    <a:spLocks noChangeShapeType="1"/>
                  </xdr:cNvSpPr>
                </xdr:nvSpPr>
                <xdr:spPr bwMode="auto">
                  <a:xfrm flipV="1">
                    <a:off x="14689658" y="2162583"/>
                    <a:ext cx="0" cy="206690"/>
                  </a:xfrm>
                  <a:prstGeom prst="line">
                    <a:avLst/>
                  </a:prstGeom>
                  <a:noFill/>
                  <a:ln w="9525">
                    <a:solidFill>
                      <a:srgbClr xmlns:mc="http://schemas.openxmlformats.org/markup-compatibility/2006" xmlns:a14="http://schemas.microsoft.com/office/drawing/2010/main" val="333333" mc:Ignorable="a14" a14:legacySpreadsheetColorIndex="63"/>
                    </a:solidFill>
                    <a:prstDash val="dash"/>
                    <a:round/>
                    <a:headEnd/>
                    <a:tailEnd/>
                  </a:ln>
                  <a:extLst>
                    <a:ext uri="{909E8E84-426E-40DD-AFC4-6F175D3DCCD1}">
                      <a14:hiddenFill xmlns:a14="http://schemas.microsoft.com/office/drawing/2010/main">
                        <a:noFill/>
                      </a14:hiddenFill>
                    </a:ext>
                  </a:extLst>
                </xdr:spPr>
                <xdr:txBody>
                  <a:bodyPr/>
                  <a:lstStyle/>
                  <a:p>
                    <a:endParaRPr lang="zh-CN" altLang="en-US"/>
                  </a:p>
                </xdr:txBody>
              </xdr:sp>
              <xdr:sp macro="" textlink="">
                <xdr:nvSpPr>
                  <xdr:cNvPr id="225" name="Line 25"/>
                  <xdr:cNvSpPr>
                    <a:spLocks noChangeShapeType="1"/>
                  </xdr:cNvSpPr>
                </xdr:nvSpPr>
                <xdr:spPr bwMode="auto">
                  <a:xfrm>
                    <a:off x="12863512" y="2329804"/>
                    <a:ext cx="1801271"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26" name="Line 25"/>
                  <xdr:cNvSpPr>
                    <a:spLocks noChangeShapeType="1"/>
                  </xdr:cNvSpPr>
                </xdr:nvSpPr>
                <xdr:spPr bwMode="auto">
                  <a:xfrm>
                    <a:off x="12846369" y="2374856"/>
                    <a:ext cx="1848666"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27" name="弦形 226"/>
                  <xdr:cNvSpPr/>
                </xdr:nvSpPr>
                <xdr:spPr bwMode="auto">
                  <a:xfrm>
                    <a:off x="12902378" y="2137630"/>
                    <a:ext cx="3599183" cy="178095"/>
                  </a:xfrm>
                  <a:prstGeom prst="chord">
                    <a:avLst>
                      <a:gd name="adj1" fmla="val 16164654"/>
                      <a:gd name="adj2" fmla="val 5400006"/>
                    </a:avLst>
                  </a:prstGeom>
                  <a:solidFill>
                    <a:schemeClr val="tx1">
                      <a:lumMod val="50000"/>
                      <a:lumOff val="50000"/>
                    </a:schemeClr>
                  </a:solidFill>
                  <a:ln w="9525">
                    <a:solidFill>
                      <a:schemeClr val="bg1"/>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28" name="弧形 227"/>
                  <xdr:cNvSpPr>
                    <a:spLocks noChangeAspect="1"/>
                  </xdr:cNvSpPr>
                </xdr:nvSpPr>
                <xdr:spPr>
                  <a:xfrm flipH="1">
                    <a:off x="12743816" y="2116405"/>
                    <a:ext cx="211918" cy="214095"/>
                  </a:xfrm>
                  <a:prstGeom prst="arc">
                    <a:avLst>
                      <a:gd name="adj1" fmla="val 1611501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29" name="Line 25"/>
                  <xdr:cNvSpPr>
                    <a:spLocks noChangeShapeType="1"/>
                  </xdr:cNvSpPr>
                </xdr:nvSpPr>
                <xdr:spPr bwMode="auto">
                  <a:xfrm>
                    <a:off x="12880197" y="2112601"/>
                    <a:ext cx="3626628"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30" name="弧形 229"/>
                  <xdr:cNvSpPr>
                    <a:spLocks noChangeAspect="1"/>
                  </xdr:cNvSpPr>
                </xdr:nvSpPr>
                <xdr:spPr>
                  <a:xfrm flipH="1">
                    <a:off x="12701735" y="2076678"/>
                    <a:ext cx="305889" cy="291058"/>
                  </a:xfrm>
                  <a:prstGeom prst="arc">
                    <a:avLst>
                      <a:gd name="adj1" fmla="val 1614640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31" name="Line 25"/>
                  <xdr:cNvSpPr>
                    <a:spLocks noChangeShapeType="1"/>
                  </xdr:cNvSpPr>
                </xdr:nvSpPr>
                <xdr:spPr bwMode="auto">
                  <a:xfrm>
                    <a:off x="12880197" y="2071475"/>
                    <a:ext cx="359805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32" name="弧形 231"/>
                  <xdr:cNvSpPr>
                    <a:spLocks noChangeAspect="1"/>
                  </xdr:cNvSpPr>
                </xdr:nvSpPr>
                <xdr:spPr>
                  <a:xfrm>
                    <a:off x="16360961" y="2114337"/>
                    <a:ext cx="295200" cy="291390"/>
                  </a:xfrm>
                  <a:prstGeom prst="arc">
                    <a:avLst>
                      <a:gd name="adj1" fmla="val 16173113"/>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33" name="Line 25"/>
                  <xdr:cNvSpPr>
                    <a:spLocks noChangeShapeType="1"/>
                  </xdr:cNvSpPr>
                </xdr:nvSpPr>
                <xdr:spPr bwMode="auto">
                  <a:xfrm>
                    <a:off x="12885556" y="2411368"/>
                    <a:ext cx="3626032"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34" name="弧形 233"/>
                  <xdr:cNvSpPr>
                    <a:spLocks noChangeAspect="1"/>
                  </xdr:cNvSpPr>
                </xdr:nvSpPr>
                <xdr:spPr>
                  <a:xfrm>
                    <a:off x="16317533" y="2075253"/>
                    <a:ext cx="381600" cy="377790"/>
                  </a:xfrm>
                  <a:prstGeom prst="arc">
                    <a:avLst>
                      <a:gd name="adj1" fmla="val 1618772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35" name="Line 25"/>
                  <xdr:cNvSpPr>
                    <a:spLocks noChangeShapeType="1"/>
                  </xdr:cNvSpPr>
                </xdr:nvSpPr>
                <xdr:spPr bwMode="auto">
                  <a:xfrm>
                    <a:off x="12892353" y="2457867"/>
                    <a:ext cx="361923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36" name="Line 29"/>
                  <xdr:cNvSpPr>
                    <a:spLocks noChangeShapeType="1"/>
                  </xdr:cNvSpPr>
                </xdr:nvSpPr>
                <xdr:spPr bwMode="auto">
                  <a:xfrm>
                    <a:off x="13276169" y="2027750"/>
                    <a:ext cx="3239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237" name="弧形 236"/>
                  <xdr:cNvSpPr>
                    <a:spLocks noChangeAspect="1"/>
                  </xdr:cNvSpPr>
                </xdr:nvSpPr>
                <xdr:spPr>
                  <a:xfrm>
                    <a:off x="16269991" y="2034579"/>
                    <a:ext cx="468000" cy="455492"/>
                  </a:xfrm>
                  <a:prstGeom prst="arc">
                    <a:avLst>
                      <a:gd name="adj1" fmla="val 16170796"/>
                      <a:gd name="adj2" fmla="val 5396007"/>
                    </a:avLst>
                  </a:prstGeom>
                  <a:ln w="19050" cmpd="sng">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38" name="Line 29"/>
                  <xdr:cNvSpPr>
                    <a:spLocks noChangeShapeType="1"/>
                  </xdr:cNvSpPr>
                </xdr:nvSpPr>
                <xdr:spPr bwMode="auto">
                  <a:xfrm>
                    <a:off x="12847761" y="2489542"/>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239" name="弧形 238"/>
                  <xdr:cNvSpPr>
                    <a:spLocks noChangeAspect="1"/>
                  </xdr:cNvSpPr>
                </xdr:nvSpPr>
                <xdr:spPr>
                  <a:xfrm flipH="1">
                    <a:off x="12649444" y="2002294"/>
                    <a:ext cx="409918" cy="408285"/>
                  </a:xfrm>
                  <a:prstGeom prst="arc">
                    <a:avLst>
                      <a:gd name="adj1" fmla="val 1617262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40" name="弧形 239"/>
                  <xdr:cNvSpPr>
                    <a:spLocks noChangeAspect="1"/>
                  </xdr:cNvSpPr>
                </xdr:nvSpPr>
                <xdr:spPr>
                  <a:xfrm flipH="1">
                    <a:off x="12597063" y="1938073"/>
                    <a:ext cx="517918" cy="516285"/>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41" name="Line 25"/>
                  <xdr:cNvSpPr>
                    <a:spLocks noChangeShapeType="1"/>
                  </xdr:cNvSpPr>
                </xdr:nvSpPr>
                <xdr:spPr bwMode="auto">
                  <a:xfrm>
                    <a:off x="12881201" y="2004315"/>
                    <a:ext cx="3625624"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42" name="Line 37"/>
                  <xdr:cNvSpPr>
                    <a:spLocks noChangeShapeType="1"/>
                  </xdr:cNvSpPr>
                </xdr:nvSpPr>
                <xdr:spPr bwMode="auto">
                  <a:xfrm>
                    <a:off x="13583044" y="1976730"/>
                    <a:ext cx="2933168" cy="0"/>
                  </a:xfrm>
                  <a:prstGeom prst="line">
                    <a:avLst/>
                  </a:prstGeom>
                  <a:noFill/>
                  <a:ln w="19050">
                    <a:solidFill>
                      <a:srgbClr xmlns:mc="http://schemas.openxmlformats.org/markup-compatibility/2006" xmlns:a14="http://schemas.microsoft.com/office/drawing/2010/main" val="0000FF" mc:Ignorable="a14" a14:legacySpreadsheetColorIndex="12"/>
                    </a:solidFill>
                    <a:round/>
                    <a:headEnd/>
                    <a:tailEnd/>
                  </a:ln>
                  <a:extLst>
                    <a:ext uri="{909E8E84-426E-40DD-AFC4-6F175D3DCCD1}">
                      <a14:hiddenFill xmlns:a14="http://schemas.microsoft.com/office/drawing/2010/main">
                        <a:noFill/>
                      </a14:hiddenFill>
                    </a:ext>
                  </a:extLst>
                </xdr:spPr>
              </xdr:sp>
              <xdr:sp macro="" textlink="">
                <xdr:nvSpPr>
                  <xdr:cNvPr id="243" name="Line 25"/>
                  <xdr:cNvSpPr>
                    <a:spLocks noChangeShapeType="1"/>
                  </xdr:cNvSpPr>
                </xdr:nvSpPr>
                <xdr:spPr bwMode="auto">
                  <a:xfrm>
                    <a:off x="12881203" y="1936962"/>
                    <a:ext cx="3620860"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44" name="弧形 243"/>
                  <xdr:cNvSpPr>
                    <a:spLocks noChangeAspect="1"/>
                  </xdr:cNvSpPr>
                </xdr:nvSpPr>
                <xdr:spPr>
                  <a:xfrm>
                    <a:off x="16246294" y="2004733"/>
                    <a:ext cx="532308" cy="518560"/>
                  </a:xfrm>
                  <a:prstGeom prst="arc">
                    <a:avLst>
                      <a:gd name="adj1" fmla="val 1618772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45" name="弧形 244"/>
                  <xdr:cNvSpPr>
                    <a:spLocks noChangeAspect="1"/>
                  </xdr:cNvSpPr>
                </xdr:nvSpPr>
                <xdr:spPr>
                  <a:xfrm>
                    <a:off x="16220157" y="1969893"/>
                    <a:ext cx="589918" cy="588285"/>
                  </a:xfrm>
                  <a:prstGeom prst="arc">
                    <a:avLst>
                      <a:gd name="adj1" fmla="val 16170796"/>
                      <a:gd name="adj2" fmla="val 5396007"/>
                    </a:avLst>
                  </a:prstGeom>
                  <a:ln w="19050" cmpd="sng">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46" name="Line 25"/>
                  <xdr:cNvSpPr>
                    <a:spLocks noChangeShapeType="1"/>
                  </xdr:cNvSpPr>
                </xdr:nvSpPr>
                <xdr:spPr bwMode="auto">
                  <a:xfrm>
                    <a:off x="12881201" y="2522433"/>
                    <a:ext cx="359918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47" name="Line 29"/>
                  <xdr:cNvSpPr>
                    <a:spLocks noChangeShapeType="1"/>
                  </xdr:cNvSpPr>
                </xdr:nvSpPr>
                <xdr:spPr bwMode="auto">
                  <a:xfrm>
                    <a:off x="12847418" y="2558800"/>
                    <a:ext cx="3671183" cy="0"/>
                  </a:xfrm>
                  <a:prstGeom prst="line">
                    <a:avLst/>
                  </a:prstGeom>
                  <a:noFill/>
                  <a:ln w="19050">
                    <a:solidFill>
                      <a:srgbClr val="2902EE"/>
                    </a:solidFill>
                    <a:round/>
                    <a:headEnd/>
                    <a:tailEnd/>
                  </a:ln>
                  <a:extLst>
                    <a:ext uri="{909E8E84-426E-40DD-AFC4-6F175D3DCCD1}">
                      <a14:hiddenFill xmlns:a14="http://schemas.microsoft.com/office/drawing/2010/main">
                        <a:noFill/>
                      </a14:hiddenFill>
                    </a:ext>
                  </a:extLst>
                </xdr:spPr>
              </xdr:sp>
              <xdr:sp macro="" textlink="">
                <xdr:nvSpPr>
                  <xdr:cNvPr id="248" name="弧形 247"/>
                  <xdr:cNvSpPr>
                    <a:spLocks noChangeAspect="1"/>
                  </xdr:cNvSpPr>
                </xdr:nvSpPr>
                <xdr:spPr>
                  <a:xfrm flipH="1">
                    <a:off x="12553511" y="1903238"/>
                    <a:ext cx="589918" cy="587560"/>
                  </a:xfrm>
                  <a:prstGeom prst="arc">
                    <a:avLst>
                      <a:gd name="adj1" fmla="val 16128098"/>
                      <a:gd name="adj2" fmla="val 5396060"/>
                    </a:avLst>
                  </a:prstGeom>
                  <a:ln w="19050">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49" name="弧形 248"/>
                  <xdr:cNvSpPr>
                    <a:spLocks noChangeAspect="1"/>
                  </xdr:cNvSpPr>
                </xdr:nvSpPr>
                <xdr:spPr>
                  <a:xfrm flipH="1">
                    <a:off x="12521270" y="1864044"/>
                    <a:ext cx="661918" cy="660285"/>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50" name="弧形 249"/>
                  <xdr:cNvSpPr>
                    <a:spLocks noChangeAspect="1"/>
                  </xdr:cNvSpPr>
                </xdr:nvSpPr>
                <xdr:spPr>
                  <a:xfrm flipH="1">
                    <a:off x="12482070" y="1831119"/>
                    <a:ext cx="733918" cy="728475"/>
                  </a:xfrm>
                  <a:prstGeom prst="arc">
                    <a:avLst>
                      <a:gd name="adj1" fmla="val 16276935"/>
                      <a:gd name="adj2" fmla="val 5435731"/>
                    </a:avLst>
                  </a:prstGeom>
                  <a:ln w="19050">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51" name="弧形 250"/>
                  <xdr:cNvSpPr>
                    <a:spLocks noChangeAspect="1"/>
                  </xdr:cNvSpPr>
                </xdr:nvSpPr>
                <xdr:spPr>
                  <a:xfrm>
                    <a:off x="16161347" y="1938065"/>
                    <a:ext cx="676554" cy="658712"/>
                  </a:xfrm>
                  <a:prstGeom prst="arc">
                    <a:avLst>
                      <a:gd name="adj1" fmla="val 1618772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52" name="Line 25"/>
                  <xdr:cNvSpPr>
                    <a:spLocks noChangeShapeType="1"/>
                  </xdr:cNvSpPr>
                </xdr:nvSpPr>
                <xdr:spPr bwMode="auto">
                  <a:xfrm>
                    <a:off x="12881211" y="2594556"/>
                    <a:ext cx="359918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53" name="Line 29"/>
                  <xdr:cNvSpPr>
                    <a:spLocks noChangeShapeType="1"/>
                  </xdr:cNvSpPr>
                </xdr:nvSpPr>
                <xdr:spPr bwMode="auto">
                  <a:xfrm>
                    <a:off x="12837661" y="1903232"/>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254" name="Line 29"/>
                  <xdr:cNvSpPr>
                    <a:spLocks noChangeShapeType="1"/>
                  </xdr:cNvSpPr>
                </xdr:nvSpPr>
                <xdr:spPr bwMode="auto">
                  <a:xfrm>
                    <a:off x="12837658" y="1831102"/>
                    <a:ext cx="3671183" cy="0"/>
                  </a:xfrm>
                  <a:prstGeom prst="line">
                    <a:avLst/>
                  </a:prstGeom>
                  <a:noFill/>
                  <a:ln w="19050">
                    <a:solidFill>
                      <a:srgbClr val="2902EE"/>
                    </a:solidFill>
                    <a:round/>
                    <a:headEnd/>
                    <a:tailEnd/>
                  </a:ln>
                  <a:extLst>
                    <a:ext uri="{909E8E84-426E-40DD-AFC4-6F175D3DCCD1}">
                      <a14:hiddenFill xmlns:a14="http://schemas.microsoft.com/office/drawing/2010/main">
                        <a:noFill/>
                      </a14:hiddenFill>
                    </a:ext>
                  </a:extLst>
                </xdr:spPr>
              </xdr:sp>
              <xdr:sp macro="" textlink="">
                <xdr:nvSpPr>
                  <xdr:cNvPr id="255" name="弧形 254"/>
                  <xdr:cNvSpPr>
                    <a:spLocks noChangeAspect="1"/>
                  </xdr:cNvSpPr>
                </xdr:nvSpPr>
                <xdr:spPr>
                  <a:xfrm flipH="1">
                    <a:off x="12449845" y="1791925"/>
                    <a:ext cx="802800" cy="803280"/>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56" name="Line 25"/>
                  <xdr:cNvSpPr>
                    <a:spLocks noChangeShapeType="1"/>
                  </xdr:cNvSpPr>
                </xdr:nvSpPr>
                <xdr:spPr bwMode="auto">
                  <a:xfrm>
                    <a:off x="12876844" y="1791916"/>
                    <a:ext cx="3606169"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57" name="弧形 256"/>
                  <xdr:cNvSpPr>
                    <a:spLocks noChangeAspect="1"/>
                  </xdr:cNvSpPr>
                </xdr:nvSpPr>
                <xdr:spPr>
                  <a:xfrm>
                    <a:off x="16141744" y="1903231"/>
                    <a:ext cx="733918" cy="730380"/>
                  </a:xfrm>
                  <a:prstGeom prst="arc">
                    <a:avLst>
                      <a:gd name="adj1" fmla="val 16170796"/>
                      <a:gd name="adj2" fmla="val 5396007"/>
                    </a:avLst>
                  </a:prstGeom>
                  <a:ln w="19050" cmpd="sng">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58" name="Line 29"/>
                  <xdr:cNvSpPr>
                    <a:spLocks noChangeShapeType="1"/>
                  </xdr:cNvSpPr>
                </xdr:nvSpPr>
                <xdr:spPr bwMode="auto">
                  <a:xfrm>
                    <a:off x="12847771" y="2631329"/>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259" name="Line 25"/>
                  <xdr:cNvSpPr>
                    <a:spLocks noChangeShapeType="1"/>
                  </xdr:cNvSpPr>
                </xdr:nvSpPr>
                <xdr:spPr bwMode="auto">
                  <a:xfrm>
                    <a:off x="12881211" y="2664220"/>
                    <a:ext cx="359918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60" name="Line 29"/>
                  <xdr:cNvSpPr>
                    <a:spLocks noChangeShapeType="1"/>
                  </xdr:cNvSpPr>
                </xdr:nvSpPr>
                <xdr:spPr bwMode="auto">
                  <a:xfrm>
                    <a:off x="12847428" y="2697524"/>
                    <a:ext cx="3671183" cy="0"/>
                  </a:xfrm>
                  <a:prstGeom prst="line">
                    <a:avLst/>
                  </a:prstGeom>
                  <a:noFill/>
                  <a:ln w="19050">
                    <a:solidFill>
                      <a:srgbClr val="2902EE"/>
                    </a:solidFill>
                    <a:round/>
                    <a:headEnd/>
                    <a:tailEnd/>
                  </a:ln>
                  <a:extLst>
                    <a:ext uri="{909E8E84-426E-40DD-AFC4-6F175D3DCCD1}">
                      <a14:hiddenFill xmlns:a14="http://schemas.microsoft.com/office/drawing/2010/main">
                        <a:noFill/>
                      </a14:hiddenFill>
                    </a:ext>
                  </a:extLst>
                </xdr:spPr>
              </xdr:sp>
              <xdr:sp macro="" textlink="">
                <xdr:nvSpPr>
                  <xdr:cNvPr id="261" name="Line 25"/>
                  <xdr:cNvSpPr>
                    <a:spLocks noChangeShapeType="1"/>
                  </xdr:cNvSpPr>
                </xdr:nvSpPr>
                <xdr:spPr bwMode="auto">
                  <a:xfrm>
                    <a:off x="12881221" y="2738248"/>
                    <a:ext cx="3620842"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62" name="弧形 261"/>
                  <xdr:cNvSpPr>
                    <a:spLocks noChangeAspect="1"/>
                  </xdr:cNvSpPr>
                </xdr:nvSpPr>
                <xdr:spPr>
                  <a:xfrm>
                    <a:off x="16087320" y="1864043"/>
                    <a:ext cx="816903" cy="795359"/>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63" name="弧形 262"/>
                  <xdr:cNvSpPr>
                    <a:spLocks noChangeAspect="1"/>
                  </xdr:cNvSpPr>
                </xdr:nvSpPr>
                <xdr:spPr>
                  <a:xfrm>
                    <a:off x="16052489" y="1831114"/>
                    <a:ext cx="888877" cy="865435"/>
                  </a:xfrm>
                  <a:prstGeom prst="arc">
                    <a:avLst>
                      <a:gd name="adj1" fmla="val 16170796"/>
                      <a:gd name="adj2" fmla="val 5396007"/>
                    </a:avLst>
                  </a:prstGeom>
                  <a:ln w="19050" cmpd="sng">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64" name="弧形 263"/>
                  <xdr:cNvSpPr>
                    <a:spLocks noChangeAspect="1"/>
                  </xdr:cNvSpPr>
                </xdr:nvSpPr>
                <xdr:spPr>
                  <a:xfrm>
                    <a:off x="16010036" y="1791925"/>
                    <a:ext cx="971508" cy="946022"/>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65" name="Line 29"/>
                  <xdr:cNvSpPr>
                    <a:spLocks noChangeShapeType="1"/>
                  </xdr:cNvSpPr>
                </xdr:nvSpPr>
                <xdr:spPr bwMode="auto">
                  <a:xfrm>
                    <a:off x="12833307" y="1752734"/>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266" name="Line 25"/>
                  <xdr:cNvSpPr>
                    <a:spLocks noChangeShapeType="1"/>
                  </xdr:cNvSpPr>
                </xdr:nvSpPr>
                <xdr:spPr bwMode="auto">
                  <a:xfrm>
                    <a:off x="12876844" y="1713531"/>
                    <a:ext cx="3615694"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67" name="Line 29"/>
                  <xdr:cNvSpPr>
                    <a:spLocks noChangeShapeType="1"/>
                  </xdr:cNvSpPr>
                </xdr:nvSpPr>
                <xdr:spPr bwMode="auto">
                  <a:xfrm>
                    <a:off x="12833304" y="1678699"/>
                    <a:ext cx="3671183" cy="0"/>
                  </a:xfrm>
                  <a:prstGeom prst="line">
                    <a:avLst/>
                  </a:prstGeom>
                  <a:noFill/>
                  <a:ln w="19050">
                    <a:solidFill>
                      <a:srgbClr val="2902EE"/>
                    </a:solidFill>
                    <a:round/>
                    <a:headEnd/>
                    <a:tailEnd/>
                  </a:ln>
                  <a:extLst>
                    <a:ext uri="{909E8E84-426E-40DD-AFC4-6F175D3DCCD1}">
                      <a14:hiddenFill xmlns:a14="http://schemas.microsoft.com/office/drawing/2010/main">
                        <a:noFill/>
                      </a14:hiddenFill>
                    </a:ext>
                  </a:extLst>
                </xdr:spPr>
              </xdr:sp>
              <xdr:sp macro="" textlink="">
                <xdr:nvSpPr>
                  <xdr:cNvPr id="268" name="弧形 267"/>
                  <xdr:cNvSpPr>
                    <a:spLocks noChangeAspect="1"/>
                  </xdr:cNvSpPr>
                </xdr:nvSpPr>
                <xdr:spPr>
                  <a:xfrm flipH="1">
                    <a:off x="12406314" y="1752736"/>
                    <a:ext cx="885118" cy="878590"/>
                  </a:xfrm>
                  <a:prstGeom prst="arc">
                    <a:avLst>
                      <a:gd name="adj1" fmla="val 16209611"/>
                      <a:gd name="adj2" fmla="val 5458801"/>
                    </a:avLst>
                  </a:prstGeom>
                  <a:ln w="19050">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69" name="弧形 268"/>
                  <xdr:cNvSpPr>
                    <a:spLocks noChangeAspect="1"/>
                  </xdr:cNvSpPr>
                </xdr:nvSpPr>
                <xdr:spPr>
                  <a:xfrm flipH="1">
                    <a:off x="12375825" y="1713544"/>
                    <a:ext cx="946800" cy="948070"/>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70" name="弧形 269"/>
                  <xdr:cNvSpPr>
                    <a:spLocks noChangeAspect="1"/>
                  </xdr:cNvSpPr>
                </xdr:nvSpPr>
                <xdr:spPr>
                  <a:xfrm flipH="1">
                    <a:off x="12332283" y="1678699"/>
                    <a:ext cx="1068812" cy="1016990"/>
                  </a:xfrm>
                  <a:prstGeom prst="arc">
                    <a:avLst>
                      <a:gd name="adj1" fmla="val 16190227"/>
                      <a:gd name="adj2" fmla="val 5424072"/>
                    </a:avLst>
                  </a:prstGeom>
                  <a:ln w="19050">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71" name="弧形 270"/>
                  <xdr:cNvSpPr>
                    <a:spLocks noChangeAspect="1"/>
                  </xdr:cNvSpPr>
                </xdr:nvSpPr>
                <xdr:spPr>
                  <a:xfrm flipH="1">
                    <a:off x="12301807" y="1639785"/>
                    <a:ext cx="1098000" cy="1094081"/>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72" name="Line 29"/>
                  <xdr:cNvSpPr>
                    <a:spLocks noChangeShapeType="1"/>
                  </xdr:cNvSpPr>
                </xdr:nvSpPr>
                <xdr:spPr bwMode="auto">
                  <a:xfrm>
                    <a:off x="12846716" y="2777623"/>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273" name="Line 25"/>
                  <xdr:cNvSpPr>
                    <a:spLocks noChangeShapeType="1"/>
                  </xdr:cNvSpPr>
                </xdr:nvSpPr>
                <xdr:spPr bwMode="auto">
                  <a:xfrm>
                    <a:off x="12880156" y="2810514"/>
                    <a:ext cx="3631432"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74" name="Line 29"/>
                  <xdr:cNvSpPr>
                    <a:spLocks noChangeShapeType="1"/>
                  </xdr:cNvSpPr>
                </xdr:nvSpPr>
                <xdr:spPr bwMode="auto">
                  <a:xfrm>
                    <a:off x="12846373" y="2844228"/>
                    <a:ext cx="3671183" cy="0"/>
                  </a:xfrm>
                  <a:prstGeom prst="line">
                    <a:avLst/>
                  </a:prstGeom>
                  <a:noFill/>
                  <a:ln w="19050">
                    <a:solidFill>
                      <a:srgbClr val="2902EE"/>
                    </a:solidFill>
                    <a:round/>
                    <a:headEnd/>
                    <a:tailEnd/>
                  </a:ln>
                  <a:extLst>
                    <a:ext uri="{909E8E84-426E-40DD-AFC4-6F175D3DCCD1}">
                      <a14:hiddenFill xmlns:a14="http://schemas.microsoft.com/office/drawing/2010/main">
                        <a:noFill/>
                      </a14:hiddenFill>
                    </a:ext>
                  </a:extLst>
                </xdr:spPr>
              </xdr:sp>
              <xdr:sp macro="" textlink="">
                <xdr:nvSpPr>
                  <xdr:cNvPr id="275" name="Line 25"/>
                  <xdr:cNvSpPr>
                    <a:spLocks noChangeShapeType="1"/>
                  </xdr:cNvSpPr>
                </xdr:nvSpPr>
                <xdr:spPr bwMode="auto">
                  <a:xfrm>
                    <a:off x="12863513" y="2884542"/>
                    <a:ext cx="3629025"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txBody>
                  <a:bodyPr/>
                  <a:lstStyle/>
                  <a:p>
                    <a:endParaRPr lang="zh-CN" altLang="en-US"/>
                  </a:p>
                </xdr:txBody>
              </xdr:sp>
              <xdr:sp macro="" textlink="">
                <xdr:nvSpPr>
                  <xdr:cNvPr id="276" name="Line 29"/>
                  <xdr:cNvSpPr>
                    <a:spLocks noChangeShapeType="1"/>
                  </xdr:cNvSpPr>
                </xdr:nvSpPr>
                <xdr:spPr bwMode="auto">
                  <a:xfrm>
                    <a:off x="12846726" y="2921315"/>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277" name="弧形 276"/>
                  <xdr:cNvSpPr>
                    <a:spLocks noChangeAspect="1"/>
                  </xdr:cNvSpPr>
                </xdr:nvSpPr>
                <xdr:spPr>
                  <a:xfrm>
                    <a:off x="15989075" y="1752737"/>
                    <a:ext cx="1028636" cy="1025370"/>
                  </a:xfrm>
                  <a:prstGeom prst="arc">
                    <a:avLst>
                      <a:gd name="adj1" fmla="val 16170796"/>
                      <a:gd name="adj2" fmla="val 5396007"/>
                    </a:avLst>
                  </a:prstGeom>
                  <a:ln w="19050" cmpd="sng">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78" name="弧形 277"/>
                  <xdr:cNvSpPr>
                    <a:spLocks noChangeAspect="1"/>
                  </xdr:cNvSpPr>
                </xdr:nvSpPr>
                <xdr:spPr>
                  <a:xfrm>
                    <a:off x="15962948" y="1713548"/>
                    <a:ext cx="1100636" cy="1097370"/>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US" altLang="zh-CN" sz="1100"/>
                  </a:p>
                </xdr:txBody>
              </xdr:sp>
              <xdr:sp macro="" textlink="">
                <xdr:nvSpPr>
                  <xdr:cNvPr id="279" name="弧形 278"/>
                  <xdr:cNvSpPr>
                    <a:spLocks noChangeAspect="1"/>
                  </xdr:cNvSpPr>
                </xdr:nvSpPr>
                <xdr:spPr>
                  <a:xfrm>
                    <a:off x="15904172" y="1678712"/>
                    <a:ext cx="1197816" cy="1166761"/>
                  </a:xfrm>
                  <a:prstGeom prst="arc">
                    <a:avLst>
                      <a:gd name="adj1" fmla="val 16170796"/>
                      <a:gd name="adj2" fmla="val 5396007"/>
                    </a:avLst>
                  </a:prstGeom>
                  <a:ln w="19050" cmpd="sng">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80" name="弧形 279"/>
                  <xdr:cNvSpPr>
                    <a:spLocks noChangeAspect="1"/>
                  </xdr:cNvSpPr>
                </xdr:nvSpPr>
                <xdr:spPr>
                  <a:xfrm>
                    <a:off x="15884570" y="1639798"/>
                    <a:ext cx="1245600" cy="1246559"/>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US" altLang="zh-CN" sz="1100"/>
                  </a:p>
                </xdr:txBody>
              </xdr:sp>
              <xdr:sp macro="" textlink="">
                <xdr:nvSpPr>
                  <xdr:cNvPr id="281" name="Line 29"/>
                  <xdr:cNvSpPr>
                    <a:spLocks noChangeShapeType="1"/>
                  </xdr:cNvSpPr>
                </xdr:nvSpPr>
                <xdr:spPr bwMode="auto">
                  <a:xfrm>
                    <a:off x="12824596" y="1604953"/>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282" name="弧形 281"/>
                  <xdr:cNvSpPr>
                    <a:spLocks noChangeAspect="1"/>
                  </xdr:cNvSpPr>
                </xdr:nvSpPr>
                <xdr:spPr>
                  <a:xfrm flipH="1">
                    <a:off x="12265881" y="1604962"/>
                    <a:ext cx="1205562" cy="1174758"/>
                  </a:xfrm>
                  <a:prstGeom prst="arc">
                    <a:avLst>
                      <a:gd name="adj1" fmla="val 16201006"/>
                      <a:gd name="adj2" fmla="val 5420417"/>
                    </a:avLst>
                  </a:prstGeom>
                  <a:ln w="19050">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83" name="弧形 282"/>
                  <xdr:cNvSpPr>
                    <a:spLocks noChangeAspect="1"/>
                  </xdr:cNvSpPr>
                </xdr:nvSpPr>
                <xdr:spPr>
                  <a:xfrm flipH="1">
                    <a:off x="12225395" y="1566864"/>
                    <a:ext cx="1242000" cy="1243135"/>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84" name="Line 25"/>
                  <xdr:cNvSpPr>
                    <a:spLocks noChangeShapeType="1"/>
                  </xdr:cNvSpPr>
                </xdr:nvSpPr>
                <xdr:spPr bwMode="auto">
                  <a:xfrm>
                    <a:off x="12873044" y="1566875"/>
                    <a:ext cx="3605206"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85" name="弧形 284"/>
                  <xdr:cNvSpPr>
                    <a:spLocks noChangeAspect="1"/>
                  </xdr:cNvSpPr>
                </xdr:nvSpPr>
                <xdr:spPr>
                  <a:xfrm flipH="1">
                    <a:off x="12196765" y="1594254"/>
                    <a:ext cx="1313523" cy="1249836"/>
                  </a:xfrm>
                  <a:prstGeom prst="arc">
                    <a:avLst>
                      <a:gd name="adj1" fmla="val 1345865"/>
                      <a:gd name="adj2" fmla="val 5424072"/>
                    </a:avLst>
                  </a:prstGeom>
                  <a:ln w="19050">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86" name="Line 25"/>
                  <xdr:cNvSpPr>
                    <a:spLocks noChangeShapeType="1"/>
                  </xdr:cNvSpPr>
                </xdr:nvSpPr>
                <xdr:spPr bwMode="auto">
                  <a:xfrm>
                    <a:off x="12873043" y="1519238"/>
                    <a:ext cx="3614732"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87" name="弧形 286"/>
                  <xdr:cNvSpPr>
                    <a:spLocks noChangeAspect="1"/>
                  </xdr:cNvSpPr>
                </xdr:nvSpPr>
                <xdr:spPr>
                  <a:xfrm flipH="1">
                    <a:off x="12163436" y="1519229"/>
                    <a:ext cx="1366751" cy="1368000"/>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88" name="弧形 287"/>
                  <xdr:cNvSpPr>
                    <a:spLocks noChangeAspect="1"/>
                  </xdr:cNvSpPr>
                </xdr:nvSpPr>
                <xdr:spPr>
                  <a:xfrm>
                    <a:off x="15821982" y="1604963"/>
                    <a:ext cx="1353108" cy="1317424"/>
                  </a:xfrm>
                  <a:prstGeom prst="arc">
                    <a:avLst>
                      <a:gd name="adj1" fmla="val 16170796"/>
                      <a:gd name="adj2" fmla="val 5396007"/>
                    </a:avLst>
                  </a:prstGeom>
                  <a:ln w="19050" cmpd="sng">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89" name="弧形 288"/>
                  <xdr:cNvSpPr>
                    <a:spLocks noChangeAspect="1"/>
                  </xdr:cNvSpPr>
                </xdr:nvSpPr>
                <xdr:spPr>
                  <a:xfrm flipH="1">
                    <a:off x="12120574" y="1481120"/>
                    <a:ext cx="1440000" cy="1440000"/>
                  </a:xfrm>
                  <a:prstGeom prst="arc">
                    <a:avLst>
                      <a:gd name="adj1" fmla="val 21595961"/>
                      <a:gd name="adj2" fmla="val 5420417"/>
                    </a:avLst>
                  </a:prstGeom>
                  <a:ln w="19050">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90" name="Line 25"/>
                  <xdr:cNvSpPr>
                    <a:spLocks noChangeShapeType="1"/>
                  </xdr:cNvSpPr>
                </xdr:nvSpPr>
                <xdr:spPr bwMode="auto">
                  <a:xfrm>
                    <a:off x="12844463" y="2995628"/>
                    <a:ext cx="3665869"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91" name="Line 25"/>
                  <xdr:cNvSpPr>
                    <a:spLocks noChangeShapeType="1"/>
                  </xdr:cNvSpPr>
                </xdr:nvSpPr>
                <xdr:spPr bwMode="auto">
                  <a:xfrm>
                    <a:off x="12844463" y="2952754"/>
                    <a:ext cx="364205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92" name="弧形 291"/>
                  <xdr:cNvSpPr>
                    <a:spLocks noChangeAspect="1"/>
                  </xdr:cNvSpPr>
                </xdr:nvSpPr>
                <xdr:spPr>
                  <a:xfrm>
                    <a:off x="15816259" y="1566861"/>
                    <a:ext cx="1386000" cy="1387068"/>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US" altLang="zh-CN" sz="1100"/>
                  </a:p>
                </xdr:txBody>
              </xdr:sp>
              <xdr:sp macro="" textlink="">
                <xdr:nvSpPr>
                  <xdr:cNvPr id="293" name="弧形 292"/>
                  <xdr:cNvSpPr>
                    <a:spLocks noChangeAspect="1"/>
                  </xdr:cNvSpPr>
                </xdr:nvSpPr>
                <xdr:spPr>
                  <a:xfrm>
                    <a:off x="15774361" y="1519238"/>
                    <a:ext cx="1476000" cy="1477138"/>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US" altLang="zh-CN" sz="1100"/>
                  </a:p>
                </xdr:txBody>
              </xdr:sp>
              <xdr:sp macro="" textlink="">
                <xdr:nvSpPr>
                  <xdr:cNvPr id="294" name="弧形 293"/>
                  <xdr:cNvSpPr>
                    <a:spLocks noChangeAspect="1"/>
                  </xdr:cNvSpPr>
                </xdr:nvSpPr>
                <xdr:spPr>
                  <a:xfrm flipH="1">
                    <a:off x="12082479" y="1476369"/>
                    <a:ext cx="1474652" cy="1476000"/>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95" name="Line 25"/>
                  <xdr:cNvSpPr>
                    <a:spLocks noChangeShapeType="1"/>
                  </xdr:cNvSpPr>
                </xdr:nvSpPr>
                <xdr:spPr bwMode="auto">
                  <a:xfrm>
                    <a:off x="12820651" y="1428769"/>
                    <a:ext cx="1504949"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296" name="弧形 295"/>
                  <xdr:cNvSpPr>
                    <a:spLocks noChangeAspect="1"/>
                  </xdr:cNvSpPr>
                </xdr:nvSpPr>
                <xdr:spPr>
                  <a:xfrm flipH="1">
                    <a:off x="12030076" y="1428748"/>
                    <a:ext cx="1566000" cy="1567432"/>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297" name="矩形 296"/>
                  <xdr:cNvSpPr/>
                </xdr:nvSpPr>
                <xdr:spPr bwMode="auto">
                  <a:xfrm rot="2075997">
                    <a:off x="14170129" y="1400741"/>
                    <a:ext cx="247237" cy="45719"/>
                  </a:xfrm>
                  <a:prstGeom prst="rect">
                    <a:avLst/>
                  </a:prstGeom>
                  <a:solidFill>
                    <a:srgbClr val="00B050"/>
                  </a:solidFill>
                  <a:ln w="9525">
                    <a:solidFill>
                      <a:srgbClr val="00B050"/>
                    </a:solidFill>
                    <a:round/>
                    <a:headEnd type="stealth" w="med" len="med"/>
                    <a:tailEnd type="stealth" w="med" len="med"/>
                  </a:ln>
                  <a:extLst/>
                </xdr:spPr>
                <xdr:txBody>
                  <a:bodyPr vertOverflow="clip" horzOverflow="clip" rtlCol="0" anchor="t"/>
                  <a:lstStyle/>
                  <a:p>
                    <a:pPr algn="l"/>
                    <a:endParaRPr lang="zh-CN" altLang="en-US" sz="1100"/>
                  </a:p>
                </xdr:txBody>
              </xdr:sp>
            </xdr:grpSp>
          </xdr:grpSp>
        </xdr:grpSp>
      </xdr:grpSp>
      <xdr:sp macro="" textlink="">
        <xdr:nvSpPr>
          <xdr:cNvPr id="211" name="矩形 210"/>
          <xdr:cNvSpPr/>
        </xdr:nvSpPr>
        <xdr:spPr bwMode="auto">
          <a:xfrm>
            <a:off x="1440180" y="2321164"/>
            <a:ext cx="459350" cy="36000"/>
          </a:xfrm>
          <a:prstGeom prst="rect">
            <a:avLst/>
          </a:prstGeom>
          <a:solidFill>
            <a:schemeClr val="accent2"/>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12" name="矩形 211"/>
          <xdr:cNvSpPr/>
        </xdr:nvSpPr>
        <xdr:spPr bwMode="auto">
          <a:xfrm>
            <a:off x="3792823" y="2401002"/>
            <a:ext cx="447041" cy="36000"/>
          </a:xfrm>
          <a:prstGeom prst="rect">
            <a:avLst/>
          </a:prstGeom>
          <a:solidFill>
            <a:schemeClr val="tx2"/>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13" name="矩形 212"/>
          <xdr:cNvSpPr/>
        </xdr:nvSpPr>
        <xdr:spPr bwMode="auto">
          <a:xfrm>
            <a:off x="1440180" y="2181517"/>
            <a:ext cx="459350" cy="36000"/>
          </a:xfrm>
          <a:prstGeom prst="rect">
            <a:avLst/>
          </a:prstGeom>
          <a:solidFill>
            <a:schemeClr val="accent2"/>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14" name="矩形 213"/>
          <xdr:cNvSpPr/>
        </xdr:nvSpPr>
        <xdr:spPr bwMode="auto">
          <a:xfrm>
            <a:off x="3792825" y="2249626"/>
            <a:ext cx="447041" cy="36000"/>
          </a:xfrm>
          <a:prstGeom prst="rect">
            <a:avLst/>
          </a:prstGeom>
          <a:solidFill>
            <a:schemeClr val="tx2"/>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grpSp>
    <xdr:clientData/>
  </xdr:twoCellAnchor>
  <xdr:twoCellAnchor>
    <xdr:from>
      <xdr:col>0</xdr:col>
      <xdr:colOff>144781</xdr:colOff>
      <xdr:row>16</xdr:row>
      <xdr:rowOff>121921</xdr:rowOff>
    </xdr:from>
    <xdr:to>
      <xdr:col>8</xdr:col>
      <xdr:colOff>247339</xdr:colOff>
      <xdr:row>24</xdr:row>
      <xdr:rowOff>41778</xdr:rowOff>
    </xdr:to>
    <xdr:grpSp>
      <xdr:nvGrpSpPr>
        <xdr:cNvPr id="619" name="组合 618"/>
        <xdr:cNvGrpSpPr/>
      </xdr:nvGrpSpPr>
      <xdr:grpSpPr>
        <a:xfrm>
          <a:off x="144781" y="3341371"/>
          <a:ext cx="5522283" cy="1443857"/>
          <a:chOff x="203943" y="3274845"/>
          <a:chExt cx="4971738" cy="1382897"/>
        </a:xfrm>
      </xdr:grpSpPr>
      <xdr:grpSp>
        <xdr:nvGrpSpPr>
          <xdr:cNvPr id="620" name="组合 619"/>
          <xdr:cNvGrpSpPr/>
        </xdr:nvGrpSpPr>
        <xdr:grpSpPr>
          <a:xfrm>
            <a:off x="203943" y="3274845"/>
            <a:ext cx="4971738" cy="1382897"/>
            <a:chOff x="203943" y="3225556"/>
            <a:chExt cx="4979364" cy="1373577"/>
          </a:xfrm>
        </xdr:grpSpPr>
        <xdr:grpSp>
          <xdr:nvGrpSpPr>
            <xdr:cNvPr id="625" name="组合 624"/>
            <xdr:cNvGrpSpPr/>
          </xdr:nvGrpSpPr>
          <xdr:grpSpPr>
            <a:xfrm>
              <a:off x="203943" y="3225556"/>
              <a:ext cx="4979364" cy="1373577"/>
              <a:chOff x="203943" y="3225556"/>
              <a:chExt cx="4979364" cy="1373577"/>
            </a:xfrm>
          </xdr:grpSpPr>
          <xdr:grpSp>
            <xdr:nvGrpSpPr>
              <xdr:cNvPr id="627" name="组合 626"/>
              <xdr:cNvGrpSpPr/>
            </xdr:nvGrpSpPr>
            <xdr:grpSpPr>
              <a:xfrm>
                <a:off x="203943" y="3225556"/>
                <a:ext cx="4979364" cy="1373577"/>
                <a:chOff x="11934836" y="2147074"/>
                <a:chExt cx="4970334" cy="1371685"/>
              </a:xfrm>
            </xdr:grpSpPr>
            <xdr:sp macro="" textlink="">
              <xdr:nvSpPr>
                <xdr:cNvPr id="629" name="Line 25"/>
                <xdr:cNvSpPr>
                  <a:spLocks noChangeShapeType="1"/>
                </xdr:cNvSpPr>
              </xdr:nvSpPr>
              <xdr:spPr bwMode="auto">
                <a:xfrm>
                  <a:off x="12620222" y="2211039"/>
                  <a:ext cx="1509711"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grpSp>
              <xdr:nvGrpSpPr>
                <xdr:cNvPr id="630" name="组合 629"/>
                <xdr:cNvGrpSpPr/>
              </xdr:nvGrpSpPr>
              <xdr:grpSpPr>
                <a:xfrm>
                  <a:off x="11934836" y="2147074"/>
                  <a:ext cx="4970334" cy="1371685"/>
                  <a:chOff x="11934836" y="2147074"/>
                  <a:chExt cx="4970334" cy="1371685"/>
                </a:xfrm>
              </xdr:grpSpPr>
              <xdr:sp macro="" textlink="">
                <xdr:nvSpPr>
                  <xdr:cNvPr id="631" name="Line 25"/>
                  <xdr:cNvSpPr>
                    <a:spLocks noChangeShapeType="1"/>
                  </xdr:cNvSpPr>
                </xdr:nvSpPr>
                <xdr:spPr bwMode="auto">
                  <a:xfrm>
                    <a:off x="12634913" y="2273198"/>
                    <a:ext cx="3622447"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grpSp>
                <xdr:nvGrpSpPr>
                  <xdr:cNvPr id="632" name="组合 631"/>
                  <xdr:cNvGrpSpPr/>
                </xdr:nvGrpSpPr>
                <xdr:grpSpPr>
                  <a:xfrm>
                    <a:off x="11934836" y="2147074"/>
                    <a:ext cx="4970334" cy="1371685"/>
                    <a:chOff x="11934836" y="2147074"/>
                    <a:chExt cx="4970334" cy="1371685"/>
                  </a:xfrm>
                </xdr:grpSpPr>
                <xdr:sp macro="" textlink="">
                  <xdr:nvSpPr>
                    <xdr:cNvPr id="633" name="Line 25"/>
                    <xdr:cNvSpPr>
                      <a:spLocks noChangeShapeType="1"/>
                    </xdr:cNvSpPr>
                  </xdr:nvSpPr>
                  <xdr:spPr bwMode="auto">
                    <a:xfrm>
                      <a:off x="12628785" y="2497441"/>
                      <a:ext cx="3620865"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grpSp>
                  <xdr:nvGrpSpPr>
                    <xdr:cNvPr id="634" name="组合 633"/>
                    <xdr:cNvGrpSpPr/>
                  </xdr:nvGrpSpPr>
                  <xdr:grpSpPr>
                    <a:xfrm>
                      <a:off x="11934836" y="2147074"/>
                      <a:ext cx="4970334" cy="1371685"/>
                      <a:chOff x="12163436" y="1513662"/>
                      <a:chExt cx="4970334" cy="1371685"/>
                    </a:xfrm>
                  </xdr:grpSpPr>
                  <xdr:sp macro="" textlink="">
                    <xdr:nvSpPr>
                      <xdr:cNvPr id="635" name="弦形 634"/>
                      <xdr:cNvSpPr/>
                    </xdr:nvSpPr>
                    <xdr:spPr bwMode="auto">
                      <a:xfrm>
                        <a:off x="12835072" y="2136458"/>
                        <a:ext cx="3613922" cy="179267"/>
                      </a:xfrm>
                      <a:prstGeom prst="chord">
                        <a:avLst>
                          <a:gd name="adj1" fmla="val 5403397"/>
                          <a:gd name="adj2" fmla="val 16200000"/>
                        </a:avLst>
                      </a:prstGeom>
                      <a:solidFill>
                        <a:schemeClr val="tx1">
                          <a:lumMod val="50000"/>
                          <a:lumOff val="50000"/>
                        </a:schemeClr>
                      </a:solidFill>
                      <a:ln w="9525">
                        <a:solidFill>
                          <a:schemeClr val="bg1"/>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636" name="Line 105"/>
                      <xdr:cNvSpPr>
                        <a:spLocks noChangeShapeType="1"/>
                      </xdr:cNvSpPr>
                    </xdr:nvSpPr>
                    <xdr:spPr bwMode="auto">
                      <a:xfrm flipV="1">
                        <a:off x="14661412" y="2164311"/>
                        <a:ext cx="0" cy="156495"/>
                      </a:xfrm>
                      <a:prstGeom prst="line">
                        <a:avLst/>
                      </a:prstGeom>
                      <a:noFill/>
                      <a:ln w="9525">
                        <a:solidFill>
                          <a:srgbClr xmlns:mc="http://schemas.openxmlformats.org/markup-compatibility/2006" xmlns:a14="http://schemas.microsoft.com/office/drawing/2010/main" val="333333" mc:Ignorable="a14" a14:legacySpreadsheetColorIndex="63"/>
                        </a:solidFill>
                        <a:prstDash val="dash"/>
                        <a:round/>
                        <a:headEnd/>
                        <a:tailEnd/>
                      </a:ln>
                      <a:extLst>
                        <a:ext uri="{909E8E84-426E-40DD-AFC4-6F175D3DCCD1}">
                          <a14:hiddenFill xmlns:a14="http://schemas.microsoft.com/office/drawing/2010/main">
                            <a:noFill/>
                          </a14:hiddenFill>
                        </a:ext>
                      </a:extLst>
                    </xdr:spPr>
                  </xdr:sp>
                  <xdr:sp macro="" textlink="">
                    <xdr:nvSpPr>
                      <xdr:cNvPr id="637" name="Line 105"/>
                      <xdr:cNvSpPr>
                        <a:spLocks noChangeShapeType="1"/>
                      </xdr:cNvSpPr>
                    </xdr:nvSpPr>
                    <xdr:spPr bwMode="auto">
                      <a:xfrm flipV="1">
                        <a:off x="14689659" y="2162583"/>
                        <a:ext cx="0" cy="206690"/>
                      </a:xfrm>
                      <a:prstGeom prst="line">
                        <a:avLst/>
                      </a:prstGeom>
                      <a:noFill/>
                      <a:ln w="9525">
                        <a:solidFill>
                          <a:srgbClr xmlns:mc="http://schemas.openxmlformats.org/markup-compatibility/2006" xmlns:a14="http://schemas.microsoft.com/office/drawing/2010/main" val="333333" mc:Ignorable="a14" a14:legacySpreadsheetColorIndex="63"/>
                        </a:solidFill>
                        <a:prstDash val="dash"/>
                        <a:round/>
                        <a:headEnd/>
                        <a:tailEnd/>
                      </a:ln>
                      <a:extLst>
                        <a:ext uri="{909E8E84-426E-40DD-AFC4-6F175D3DCCD1}">
                          <a14:hiddenFill xmlns:a14="http://schemas.microsoft.com/office/drawing/2010/main">
                            <a:noFill/>
                          </a14:hiddenFill>
                        </a:ext>
                      </a:extLst>
                    </xdr:spPr>
                    <xdr:txBody>
                      <a:bodyPr/>
                      <a:lstStyle/>
                      <a:p>
                        <a:endParaRPr lang="zh-CN" altLang="en-US"/>
                      </a:p>
                    </xdr:txBody>
                  </xdr:sp>
                  <xdr:sp macro="" textlink="">
                    <xdr:nvSpPr>
                      <xdr:cNvPr id="638" name="Line 25"/>
                      <xdr:cNvSpPr>
                        <a:spLocks noChangeShapeType="1"/>
                      </xdr:cNvSpPr>
                    </xdr:nvSpPr>
                    <xdr:spPr bwMode="auto">
                      <a:xfrm>
                        <a:off x="12863512" y="2329804"/>
                        <a:ext cx="1801271"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39" name="Line 25"/>
                      <xdr:cNvSpPr>
                        <a:spLocks noChangeShapeType="1"/>
                      </xdr:cNvSpPr>
                    </xdr:nvSpPr>
                    <xdr:spPr bwMode="auto">
                      <a:xfrm>
                        <a:off x="12846369" y="2374856"/>
                        <a:ext cx="1848666"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40" name="弦形 639"/>
                      <xdr:cNvSpPr/>
                    </xdr:nvSpPr>
                    <xdr:spPr bwMode="auto">
                      <a:xfrm>
                        <a:off x="12902378" y="2137630"/>
                        <a:ext cx="3599183" cy="178095"/>
                      </a:xfrm>
                      <a:prstGeom prst="chord">
                        <a:avLst>
                          <a:gd name="adj1" fmla="val 16164654"/>
                          <a:gd name="adj2" fmla="val 5400006"/>
                        </a:avLst>
                      </a:prstGeom>
                      <a:solidFill>
                        <a:schemeClr val="tx1">
                          <a:lumMod val="50000"/>
                          <a:lumOff val="50000"/>
                        </a:schemeClr>
                      </a:solidFill>
                      <a:ln w="9525">
                        <a:solidFill>
                          <a:schemeClr val="bg1"/>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641" name="弧形 640"/>
                      <xdr:cNvSpPr>
                        <a:spLocks noChangeAspect="1"/>
                      </xdr:cNvSpPr>
                    </xdr:nvSpPr>
                    <xdr:spPr>
                      <a:xfrm flipH="1">
                        <a:off x="12743816" y="2116405"/>
                        <a:ext cx="211918" cy="214095"/>
                      </a:xfrm>
                      <a:prstGeom prst="arc">
                        <a:avLst>
                          <a:gd name="adj1" fmla="val 1611501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42" name="Line 25"/>
                      <xdr:cNvSpPr>
                        <a:spLocks noChangeShapeType="1"/>
                      </xdr:cNvSpPr>
                    </xdr:nvSpPr>
                    <xdr:spPr bwMode="auto">
                      <a:xfrm>
                        <a:off x="12880197" y="2112601"/>
                        <a:ext cx="3626628"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43" name="弧形 642"/>
                      <xdr:cNvSpPr>
                        <a:spLocks noChangeAspect="1"/>
                      </xdr:cNvSpPr>
                    </xdr:nvSpPr>
                    <xdr:spPr>
                      <a:xfrm flipH="1">
                        <a:off x="12701735" y="2069430"/>
                        <a:ext cx="301918" cy="304095"/>
                      </a:xfrm>
                      <a:prstGeom prst="arc">
                        <a:avLst>
                          <a:gd name="adj1" fmla="val 1614640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44" name="Line 25"/>
                      <xdr:cNvSpPr>
                        <a:spLocks noChangeShapeType="1"/>
                      </xdr:cNvSpPr>
                    </xdr:nvSpPr>
                    <xdr:spPr bwMode="auto">
                      <a:xfrm>
                        <a:off x="12880197" y="2071475"/>
                        <a:ext cx="359805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45" name="弧形 644"/>
                      <xdr:cNvSpPr>
                        <a:spLocks noChangeAspect="1"/>
                      </xdr:cNvSpPr>
                    </xdr:nvSpPr>
                    <xdr:spPr>
                      <a:xfrm>
                        <a:off x="16360961" y="2114337"/>
                        <a:ext cx="295200" cy="291390"/>
                      </a:xfrm>
                      <a:prstGeom prst="arc">
                        <a:avLst>
                          <a:gd name="adj1" fmla="val 16173113"/>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46" name="Line 25"/>
                      <xdr:cNvSpPr>
                        <a:spLocks noChangeShapeType="1"/>
                      </xdr:cNvSpPr>
                    </xdr:nvSpPr>
                    <xdr:spPr bwMode="auto">
                      <a:xfrm>
                        <a:off x="12885556" y="2411368"/>
                        <a:ext cx="3626032"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47" name="弧形 646"/>
                      <xdr:cNvSpPr>
                        <a:spLocks noChangeAspect="1"/>
                      </xdr:cNvSpPr>
                    </xdr:nvSpPr>
                    <xdr:spPr>
                      <a:xfrm>
                        <a:off x="16317533" y="2075253"/>
                        <a:ext cx="381600" cy="377790"/>
                      </a:xfrm>
                      <a:prstGeom prst="arc">
                        <a:avLst>
                          <a:gd name="adj1" fmla="val 1618772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48" name="Line 25"/>
                      <xdr:cNvSpPr>
                        <a:spLocks noChangeShapeType="1"/>
                      </xdr:cNvSpPr>
                    </xdr:nvSpPr>
                    <xdr:spPr bwMode="auto">
                      <a:xfrm>
                        <a:off x="12892353" y="2450451"/>
                        <a:ext cx="361923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49" name="Line 29"/>
                      <xdr:cNvSpPr>
                        <a:spLocks noChangeShapeType="1"/>
                      </xdr:cNvSpPr>
                    </xdr:nvSpPr>
                    <xdr:spPr bwMode="auto">
                      <a:xfrm>
                        <a:off x="13276169" y="2035167"/>
                        <a:ext cx="3239183"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sp>
                  <xdr:sp macro="" textlink="">
                    <xdr:nvSpPr>
                      <xdr:cNvPr id="650" name="弧形 649"/>
                      <xdr:cNvSpPr>
                        <a:spLocks noChangeAspect="1"/>
                      </xdr:cNvSpPr>
                    </xdr:nvSpPr>
                    <xdr:spPr>
                      <a:xfrm>
                        <a:off x="16285226" y="2034579"/>
                        <a:ext cx="457200" cy="457474"/>
                      </a:xfrm>
                      <a:prstGeom prst="arc">
                        <a:avLst>
                          <a:gd name="adj1" fmla="val 16170796"/>
                          <a:gd name="adj2" fmla="val 5396007"/>
                        </a:avLst>
                      </a:prstGeom>
                      <a:ln w="19050" cmpd="sng">
                        <a:solidFill>
                          <a:srgbClr val="FF0000"/>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51" name="Line 29"/>
                      <xdr:cNvSpPr>
                        <a:spLocks noChangeShapeType="1"/>
                      </xdr:cNvSpPr>
                    </xdr:nvSpPr>
                    <xdr:spPr bwMode="auto">
                      <a:xfrm>
                        <a:off x="12847761" y="2489542"/>
                        <a:ext cx="3671183"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sp>
                  <xdr:sp macro="" textlink="">
                    <xdr:nvSpPr>
                      <xdr:cNvPr id="652" name="弧形 651"/>
                      <xdr:cNvSpPr>
                        <a:spLocks noChangeAspect="1"/>
                      </xdr:cNvSpPr>
                    </xdr:nvSpPr>
                    <xdr:spPr>
                      <a:xfrm flipH="1">
                        <a:off x="12649444" y="2002294"/>
                        <a:ext cx="409918" cy="408285"/>
                      </a:xfrm>
                      <a:prstGeom prst="arc">
                        <a:avLst>
                          <a:gd name="adj1" fmla="val 1617262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53" name="弧形 652"/>
                      <xdr:cNvSpPr>
                        <a:spLocks noChangeAspect="1"/>
                      </xdr:cNvSpPr>
                    </xdr:nvSpPr>
                    <xdr:spPr>
                      <a:xfrm flipH="1">
                        <a:off x="12597063" y="1938073"/>
                        <a:ext cx="517918" cy="516285"/>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54" name="Line 25"/>
                      <xdr:cNvSpPr>
                        <a:spLocks noChangeShapeType="1"/>
                      </xdr:cNvSpPr>
                    </xdr:nvSpPr>
                    <xdr:spPr bwMode="auto">
                      <a:xfrm>
                        <a:off x="12881201" y="2004315"/>
                        <a:ext cx="3625624"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55" name="Line 37"/>
                      <xdr:cNvSpPr>
                        <a:spLocks noChangeShapeType="1"/>
                      </xdr:cNvSpPr>
                    </xdr:nvSpPr>
                    <xdr:spPr bwMode="auto">
                      <a:xfrm>
                        <a:off x="13583044" y="1969482"/>
                        <a:ext cx="2933168" cy="0"/>
                      </a:xfrm>
                      <a:prstGeom prst="line">
                        <a:avLst/>
                      </a:prstGeom>
                      <a:noFill/>
                      <a:ln w="19050">
                        <a:solidFill>
                          <a:srgbClr xmlns:mc="http://schemas.openxmlformats.org/markup-compatibility/2006" xmlns:a14="http://schemas.microsoft.com/office/drawing/2010/main" val="0000FF" mc:Ignorable="a14" a14:legacySpreadsheetColorIndex="12"/>
                        </a:solidFill>
                        <a:round/>
                        <a:headEnd/>
                        <a:tailEnd/>
                      </a:ln>
                      <a:extLst>
                        <a:ext uri="{909E8E84-426E-40DD-AFC4-6F175D3DCCD1}">
                          <a14:hiddenFill xmlns:a14="http://schemas.microsoft.com/office/drawing/2010/main">
                            <a:noFill/>
                          </a14:hiddenFill>
                        </a:ext>
                      </a:extLst>
                    </xdr:spPr>
                  </xdr:sp>
                  <xdr:sp macro="" textlink="">
                    <xdr:nvSpPr>
                      <xdr:cNvPr id="656" name="Line 25"/>
                      <xdr:cNvSpPr>
                        <a:spLocks noChangeShapeType="1"/>
                      </xdr:cNvSpPr>
                    </xdr:nvSpPr>
                    <xdr:spPr bwMode="auto">
                      <a:xfrm>
                        <a:off x="12881203" y="1936962"/>
                        <a:ext cx="3620860"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57" name="弧形 656"/>
                      <xdr:cNvSpPr>
                        <a:spLocks noChangeAspect="1"/>
                      </xdr:cNvSpPr>
                    </xdr:nvSpPr>
                    <xdr:spPr>
                      <a:xfrm>
                        <a:off x="16246294" y="2004733"/>
                        <a:ext cx="521518" cy="519885"/>
                      </a:xfrm>
                      <a:prstGeom prst="arc">
                        <a:avLst>
                          <a:gd name="adj1" fmla="val 1618772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58" name="弧形 657"/>
                      <xdr:cNvSpPr>
                        <a:spLocks noChangeAspect="1"/>
                      </xdr:cNvSpPr>
                    </xdr:nvSpPr>
                    <xdr:spPr>
                      <a:xfrm>
                        <a:off x="16220157" y="1969893"/>
                        <a:ext cx="589918" cy="588285"/>
                      </a:xfrm>
                      <a:prstGeom prst="arc">
                        <a:avLst>
                          <a:gd name="adj1" fmla="val 16170796"/>
                          <a:gd name="adj2" fmla="val 5396007"/>
                        </a:avLst>
                      </a:prstGeom>
                      <a:ln w="19050" cmpd="sng">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59" name="Line 25"/>
                      <xdr:cNvSpPr>
                        <a:spLocks noChangeShapeType="1"/>
                      </xdr:cNvSpPr>
                    </xdr:nvSpPr>
                    <xdr:spPr bwMode="auto">
                      <a:xfrm>
                        <a:off x="12881201" y="2522433"/>
                        <a:ext cx="359918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60" name="Line 29"/>
                      <xdr:cNvSpPr>
                        <a:spLocks noChangeShapeType="1"/>
                      </xdr:cNvSpPr>
                    </xdr:nvSpPr>
                    <xdr:spPr bwMode="auto">
                      <a:xfrm>
                        <a:off x="12847418" y="2558800"/>
                        <a:ext cx="3671183" cy="0"/>
                      </a:xfrm>
                      <a:prstGeom prst="line">
                        <a:avLst/>
                      </a:prstGeom>
                      <a:noFill/>
                      <a:ln w="19050">
                        <a:solidFill>
                          <a:srgbClr val="2902EE"/>
                        </a:solidFill>
                        <a:round/>
                        <a:headEnd/>
                        <a:tailEnd/>
                      </a:ln>
                      <a:extLst>
                        <a:ext uri="{909E8E84-426E-40DD-AFC4-6F175D3DCCD1}">
                          <a14:hiddenFill xmlns:a14="http://schemas.microsoft.com/office/drawing/2010/main">
                            <a:noFill/>
                          </a14:hiddenFill>
                        </a:ext>
                      </a:extLst>
                    </xdr:spPr>
                  </xdr:sp>
                  <xdr:sp macro="" textlink="">
                    <xdr:nvSpPr>
                      <xdr:cNvPr id="661" name="弧形 660"/>
                      <xdr:cNvSpPr>
                        <a:spLocks noChangeAspect="1"/>
                      </xdr:cNvSpPr>
                    </xdr:nvSpPr>
                    <xdr:spPr>
                      <a:xfrm flipH="1">
                        <a:off x="12553511" y="1903238"/>
                        <a:ext cx="589918" cy="587560"/>
                      </a:xfrm>
                      <a:prstGeom prst="arc">
                        <a:avLst>
                          <a:gd name="adj1" fmla="val 21587491"/>
                          <a:gd name="adj2" fmla="val 5589982"/>
                        </a:avLst>
                      </a:prstGeom>
                      <a:ln w="19050">
                        <a:solidFill>
                          <a:srgbClr val="FF0000"/>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62" name="弧形 661"/>
                      <xdr:cNvSpPr>
                        <a:spLocks noChangeAspect="1"/>
                      </xdr:cNvSpPr>
                    </xdr:nvSpPr>
                    <xdr:spPr>
                      <a:xfrm flipH="1">
                        <a:off x="12521270" y="1864044"/>
                        <a:ext cx="661918" cy="660285"/>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63" name="弧形 662"/>
                      <xdr:cNvSpPr>
                        <a:spLocks noChangeAspect="1"/>
                      </xdr:cNvSpPr>
                    </xdr:nvSpPr>
                    <xdr:spPr>
                      <a:xfrm flipH="1">
                        <a:off x="12482070" y="1831119"/>
                        <a:ext cx="733918" cy="728475"/>
                      </a:xfrm>
                      <a:prstGeom prst="arc">
                        <a:avLst>
                          <a:gd name="adj1" fmla="val 16276935"/>
                          <a:gd name="adj2" fmla="val 5435731"/>
                        </a:avLst>
                      </a:prstGeom>
                      <a:ln w="19050">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64" name="弧形 663"/>
                      <xdr:cNvSpPr>
                        <a:spLocks noChangeAspect="1"/>
                      </xdr:cNvSpPr>
                    </xdr:nvSpPr>
                    <xdr:spPr>
                      <a:xfrm>
                        <a:off x="16176581" y="1938065"/>
                        <a:ext cx="661918" cy="658380"/>
                      </a:xfrm>
                      <a:prstGeom prst="arc">
                        <a:avLst>
                          <a:gd name="adj1" fmla="val 16187724"/>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65" name="Line 25"/>
                      <xdr:cNvSpPr>
                        <a:spLocks noChangeShapeType="1"/>
                      </xdr:cNvSpPr>
                    </xdr:nvSpPr>
                    <xdr:spPr bwMode="auto">
                      <a:xfrm>
                        <a:off x="12881211" y="2594556"/>
                        <a:ext cx="359918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66" name="Line 29"/>
                      <xdr:cNvSpPr>
                        <a:spLocks noChangeShapeType="1"/>
                      </xdr:cNvSpPr>
                    </xdr:nvSpPr>
                    <xdr:spPr bwMode="auto">
                      <a:xfrm>
                        <a:off x="12837661" y="1903232"/>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667" name="Line 29"/>
                      <xdr:cNvSpPr>
                        <a:spLocks noChangeShapeType="1"/>
                      </xdr:cNvSpPr>
                    </xdr:nvSpPr>
                    <xdr:spPr bwMode="auto">
                      <a:xfrm>
                        <a:off x="12837658" y="1831102"/>
                        <a:ext cx="3671183" cy="0"/>
                      </a:xfrm>
                      <a:prstGeom prst="line">
                        <a:avLst/>
                      </a:prstGeom>
                      <a:noFill/>
                      <a:ln w="19050">
                        <a:solidFill>
                          <a:srgbClr val="2902EE"/>
                        </a:solidFill>
                        <a:round/>
                        <a:headEnd/>
                        <a:tailEnd/>
                      </a:ln>
                      <a:extLst>
                        <a:ext uri="{909E8E84-426E-40DD-AFC4-6F175D3DCCD1}">
                          <a14:hiddenFill xmlns:a14="http://schemas.microsoft.com/office/drawing/2010/main">
                            <a:noFill/>
                          </a14:hiddenFill>
                        </a:ext>
                      </a:extLst>
                    </xdr:spPr>
                  </xdr:sp>
                  <xdr:sp macro="" textlink="">
                    <xdr:nvSpPr>
                      <xdr:cNvPr id="668" name="弧形 667"/>
                      <xdr:cNvSpPr>
                        <a:spLocks noChangeAspect="1"/>
                      </xdr:cNvSpPr>
                    </xdr:nvSpPr>
                    <xdr:spPr>
                      <a:xfrm flipH="1">
                        <a:off x="12449845" y="1791925"/>
                        <a:ext cx="802800" cy="803280"/>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69" name="Line 25"/>
                      <xdr:cNvSpPr>
                        <a:spLocks noChangeShapeType="1"/>
                      </xdr:cNvSpPr>
                    </xdr:nvSpPr>
                    <xdr:spPr bwMode="auto">
                      <a:xfrm>
                        <a:off x="12876844" y="1791916"/>
                        <a:ext cx="3606169"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70" name="弧形 669"/>
                      <xdr:cNvSpPr>
                        <a:spLocks noChangeAspect="1"/>
                      </xdr:cNvSpPr>
                    </xdr:nvSpPr>
                    <xdr:spPr>
                      <a:xfrm>
                        <a:off x="16141744" y="1903231"/>
                        <a:ext cx="733918" cy="730380"/>
                      </a:xfrm>
                      <a:prstGeom prst="arc">
                        <a:avLst>
                          <a:gd name="adj1" fmla="val 16170796"/>
                          <a:gd name="adj2" fmla="val 5396007"/>
                        </a:avLst>
                      </a:prstGeom>
                      <a:ln w="19050" cmpd="sng">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71" name="Line 29"/>
                      <xdr:cNvSpPr>
                        <a:spLocks noChangeShapeType="1"/>
                      </xdr:cNvSpPr>
                    </xdr:nvSpPr>
                    <xdr:spPr bwMode="auto">
                      <a:xfrm>
                        <a:off x="12847771" y="2631329"/>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672" name="Line 25"/>
                      <xdr:cNvSpPr>
                        <a:spLocks noChangeShapeType="1"/>
                      </xdr:cNvSpPr>
                    </xdr:nvSpPr>
                    <xdr:spPr bwMode="auto">
                      <a:xfrm>
                        <a:off x="12881211" y="2664220"/>
                        <a:ext cx="3599183"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73" name="Line 29"/>
                      <xdr:cNvSpPr>
                        <a:spLocks noChangeShapeType="1"/>
                      </xdr:cNvSpPr>
                    </xdr:nvSpPr>
                    <xdr:spPr bwMode="auto">
                      <a:xfrm>
                        <a:off x="12847428" y="2697383"/>
                        <a:ext cx="3671183" cy="0"/>
                      </a:xfrm>
                      <a:prstGeom prst="line">
                        <a:avLst/>
                      </a:prstGeom>
                      <a:noFill/>
                      <a:ln w="19050">
                        <a:solidFill>
                          <a:srgbClr val="2902EE"/>
                        </a:solidFill>
                        <a:round/>
                        <a:headEnd/>
                        <a:tailEnd/>
                      </a:ln>
                      <a:extLst>
                        <a:ext uri="{909E8E84-426E-40DD-AFC4-6F175D3DCCD1}">
                          <a14:hiddenFill xmlns:a14="http://schemas.microsoft.com/office/drawing/2010/main">
                            <a:noFill/>
                          </a14:hiddenFill>
                        </a:ext>
                      </a:extLst>
                    </xdr:spPr>
                  </xdr:sp>
                  <xdr:sp macro="" textlink="">
                    <xdr:nvSpPr>
                      <xdr:cNvPr id="674" name="Line 25"/>
                      <xdr:cNvSpPr>
                        <a:spLocks noChangeShapeType="1"/>
                      </xdr:cNvSpPr>
                    </xdr:nvSpPr>
                    <xdr:spPr bwMode="auto">
                      <a:xfrm>
                        <a:off x="12881221" y="2738248"/>
                        <a:ext cx="3620842"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75" name="弧形 674"/>
                      <xdr:cNvSpPr>
                        <a:spLocks noChangeAspect="1"/>
                      </xdr:cNvSpPr>
                    </xdr:nvSpPr>
                    <xdr:spPr>
                      <a:xfrm>
                        <a:off x="16102556" y="1864043"/>
                        <a:ext cx="805918" cy="802380"/>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76" name="弧形 675"/>
                      <xdr:cNvSpPr>
                        <a:spLocks noChangeAspect="1"/>
                      </xdr:cNvSpPr>
                    </xdr:nvSpPr>
                    <xdr:spPr>
                      <a:xfrm>
                        <a:off x="16067725" y="1831114"/>
                        <a:ext cx="877918" cy="872475"/>
                      </a:xfrm>
                      <a:prstGeom prst="arc">
                        <a:avLst>
                          <a:gd name="adj1" fmla="val 16170796"/>
                          <a:gd name="adj2" fmla="val 5396007"/>
                        </a:avLst>
                      </a:prstGeom>
                      <a:ln w="19050" cmpd="sng">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77" name="弧形 676"/>
                      <xdr:cNvSpPr>
                        <a:spLocks noChangeAspect="1"/>
                      </xdr:cNvSpPr>
                    </xdr:nvSpPr>
                    <xdr:spPr>
                      <a:xfrm>
                        <a:off x="16032888" y="1791925"/>
                        <a:ext cx="953518" cy="948075"/>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78" name="Line 29"/>
                      <xdr:cNvSpPr>
                        <a:spLocks noChangeShapeType="1"/>
                      </xdr:cNvSpPr>
                    </xdr:nvSpPr>
                    <xdr:spPr bwMode="auto">
                      <a:xfrm>
                        <a:off x="12833307" y="1752734"/>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679" name="Line 25"/>
                      <xdr:cNvSpPr>
                        <a:spLocks noChangeShapeType="1"/>
                      </xdr:cNvSpPr>
                    </xdr:nvSpPr>
                    <xdr:spPr bwMode="auto">
                      <a:xfrm>
                        <a:off x="12876844" y="1713531"/>
                        <a:ext cx="3615694"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80" name="Line 29"/>
                      <xdr:cNvSpPr>
                        <a:spLocks noChangeShapeType="1"/>
                      </xdr:cNvSpPr>
                    </xdr:nvSpPr>
                    <xdr:spPr bwMode="auto">
                      <a:xfrm>
                        <a:off x="12833304" y="1678699"/>
                        <a:ext cx="3671183" cy="0"/>
                      </a:xfrm>
                      <a:prstGeom prst="line">
                        <a:avLst/>
                      </a:prstGeom>
                      <a:noFill/>
                      <a:ln w="19050">
                        <a:solidFill>
                          <a:srgbClr val="00FFFF"/>
                        </a:solidFill>
                        <a:round/>
                        <a:headEnd/>
                        <a:tailEnd/>
                      </a:ln>
                      <a:extLst>
                        <a:ext uri="{909E8E84-426E-40DD-AFC4-6F175D3DCCD1}">
                          <a14:hiddenFill xmlns:a14="http://schemas.microsoft.com/office/drawing/2010/main">
                            <a:noFill/>
                          </a14:hiddenFill>
                        </a:ext>
                      </a:extLst>
                    </xdr:spPr>
                  </xdr:sp>
                  <xdr:sp macro="" textlink="">
                    <xdr:nvSpPr>
                      <xdr:cNvPr id="681" name="弧形 680"/>
                      <xdr:cNvSpPr>
                        <a:spLocks noChangeAspect="1"/>
                      </xdr:cNvSpPr>
                    </xdr:nvSpPr>
                    <xdr:spPr>
                      <a:xfrm flipH="1">
                        <a:off x="12406314" y="1752736"/>
                        <a:ext cx="885118" cy="878590"/>
                      </a:xfrm>
                      <a:prstGeom prst="arc">
                        <a:avLst>
                          <a:gd name="adj1" fmla="val 16209611"/>
                          <a:gd name="adj2" fmla="val 5458801"/>
                        </a:avLst>
                      </a:prstGeom>
                      <a:ln w="19050">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82" name="弧形 681"/>
                      <xdr:cNvSpPr>
                        <a:spLocks noChangeAspect="1"/>
                      </xdr:cNvSpPr>
                    </xdr:nvSpPr>
                    <xdr:spPr>
                      <a:xfrm flipH="1">
                        <a:off x="12375825" y="1713544"/>
                        <a:ext cx="946800" cy="948070"/>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83" name="弧形 682"/>
                      <xdr:cNvSpPr>
                        <a:spLocks noChangeAspect="1"/>
                      </xdr:cNvSpPr>
                    </xdr:nvSpPr>
                    <xdr:spPr>
                      <a:xfrm flipH="1">
                        <a:off x="12332285" y="1678699"/>
                        <a:ext cx="1029600" cy="1021253"/>
                      </a:xfrm>
                      <a:prstGeom prst="arc">
                        <a:avLst>
                          <a:gd name="adj1" fmla="val 1088663"/>
                          <a:gd name="adj2" fmla="val 5424072"/>
                        </a:avLst>
                      </a:prstGeom>
                      <a:ln w="19050">
                        <a:solidFill>
                          <a:srgbClr val="2902EE"/>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84" name="弧形 683"/>
                      <xdr:cNvSpPr>
                        <a:spLocks noChangeAspect="1"/>
                      </xdr:cNvSpPr>
                    </xdr:nvSpPr>
                    <xdr:spPr>
                      <a:xfrm flipH="1">
                        <a:off x="12301807" y="1639785"/>
                        <a:ext cx="1098000" cy="1099003"/>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85" name="Line 29"/>
                      <xdr:cNvSpPr>
                        <a:spLocks noChangeShapeType="1"/>
                      </xdr:cNvSpPr>
                    </xdr:nvSpPr>
                    <xdr:spPr bwMode="auto">
                      <a:xfrm>
                        <a:off x="12846716" y="2777623"/>
                        <a:ext cx="3671183"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sp macro="" textlink="">
                    <xdr:nvSpPr>
                      <xdr:cNvPr id="686" name="Line 25"/>
                      <xdr:cNvSpPr>
                        <a:spLocks noChangeShapeType="1"/>
                      </xdr:cNvSpPr>
                    </xdr:nvSpPr>
                    <xdr:spPr bwMode="auto">
                      <a:xfrm>
                        <a:off x="12880156" y="2810514"/>
                        <a:ext cx="3631432"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87" name="Line 29"/>
                      <xdr:cNvSpPr>
                        <a:spLocks noChangeShapeType="1"/>
                      </xdr:cNvSpPr>
                    </xdr:nvSpPr>
                    <xdr:spPr bwMode="auto">
                      <a:xfrm>
                        <a:off x="12846373" y="2851644"/>
                        <a:ext cx="3671183" cy="0"/>
                      </a:xfrm>
                      <a:prstGeom prst="line">
                        <a:avLst/>
                      </a:prstGeom>
                      <a:noFill/>
                      <a:ln w="19050">
                        <a:solidFill>
                          <a:srgbClr val="00FFFF"/>
                        </a:solidFill>
                        <a:round/>
                        <a:headEnd/>
                        <a:tailEnd/>
                      </a:ln>
                      <a:extLst>
                        <a:ext uri="{909E8E84-426E-40DD-AFC4-6F175D3DCCD1}">
                          <a14:hiddenFill xmlns:a14="http://schemas.microsoft.com/office/drawing/2010/main">
                            <a:noFill/>
                          </a14:hiddenFill>
                        </a:ext>
                      </a:extLst>
                    </xdr:spPr>
                  </xdr:sp>
                  <xdr:sp macro="" textlink="">
                    <xdr:nvSpPr>
                      <xdr:cNvPr id="688" name="Line 25"/>
                      <xdr:cNvSpPr>
                        <a:spLocks noChangeShapeType="1"/>
                      </xdr:cNvSpPr>
                    </xdr:nvSpPr>
                    <xdr:spPr bwMode="auto">
                      <a:xfrm>
                        <a:off x="12863513" y="2884542"/>
                        <a:ext cx="3629025"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txBody>
                      <a:bodyPr/>
                      <a:lstStyle/>
                      <a:p>
                        <a:endParaRPr lang="zh-CN" altLang="en-US"/>
                      </a:p>
                    </xdr:txBody>
                  </xdr:sp>
                  <xdr:sp macro="" textlink="">
                    <xdr:nvSpPr>
                      <xdr:cNvPr id="689" name="弧形 688"/>
                      <xdr:cNvSpPr>
                        <a:spLocks noChangeAspect="1"/>
                      </xdr:cNvSpPr>
                    </xdr:nvSpPr>
                    <xdr:spPr>
                      <a:xfrm>
                        <a:off x="15989075" y="1752737"/>
                        <a:ext cx="1028636" cy="1025370"/>
                      </a:xfrm>
                      <a:prstGeom prst="arc">
                        <a:avLst>
                          <a:gd name="adj1" fmla="val 16170796"/>
                          <a:gd name="adj2" fmla="val 5396007"/>
                        </a:avLst>
                      </a:prstGeom>
                      <a:ln w="19050" cmpd="sng">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90" name="弧形 689"/>
                      <xdr:cNvSpPr>
                        <a:spLocks noChangeAspect="1"/>
                      </xdr:cNvSpPr>
                    </xdr:nvSpPr>
                    <xdr:spPr>
                      <a:xfrm>
                        <a:off x="15962948" y="1713548"/>
                        <a:ext cx="1100636" cy="1097370"/>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US" altLang="zh-CN" sz="1100"/>
                      </a:p>
                    </xdr:txBody>
                  </xdr:sp>
                  <xdr:sp macro="" textlink="">
                    <xdr:nvSpPr>
                      <xdr:cNvPr id="691" name="弧形 690"/>
                      <xdr:cNvSpPr>
                        <a:spLocks noChangeAspect="1"/>
                      </xdr:cNvSpPr>
                    </xdr:nvSpPr>
                    <xdr:spPr>
                      <a:xfrm>
                        <a:off x="15919406" y="1678713"/>
                        <a:ext cx="1172636" cy="1173600"/>
                      </a:xfrm>
                      <a:prstGeom prst="arc">
                        <a:avLst>
                          <a:gd name="adj1" fmla="val 16170796"/>
                          <a:gd name="adj2" fmla="val 5396007"/>
                        </a:avLst>
                      </a:prstGeom>
                      <a:ln w="19050" cmpd="sng">
                        <a:solidFill>
                          <a:srgbClr val="00FFFF"/>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92" name="弧形 691"/>
                      <xdr:cNvSpPr>
                        <a:spLocks noChangeAspect="1"/>
                      </xdr:cNvSpPr>
                    </xdr:nvSpPr>
                    <xdr:spPr>
                      <a:xfrm>
                        <a:off x="15884570" y="1639798"/>
                        <a:ext cx="1249200" cy="1239072"/>
                      </a:xfrm>
                      <a:prstGeom prst="arc">
                        <a:avLst>
                          <a:gd name="adj1" fmla="val 16187724"/>
                          <a:gd name="adj2" fmla="val 5467043"/>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en-US" altLang="zh-CN" sz="1100"/>
                      </a:p>
                    </xdr:txBody>
                  </xdr:sp>
                  <xdr:sp macro="" textlink="">
                    <xdr:nvSpPr>
                      <xdr:cNvPr id="693" name="弧形 692"/>
                      <xdr:cNvSpPr>
                        <a:spLocks noChangeAspect="1"/>
                      </xdr:cNvSpPr>
                    </xdr:nvSpPr>
                    <xdr:spPr>
                      <a:xfrm flipH="1">
                        <a:off x="12258265" y="1604962"/>
                        <a:ext cx="1181134" cy="1171252"/>
                      </a:xfrm>
                      <a:prstGeom prst="arc">
                        <a:avLst>
                          <a:gd name="adj1" fmla="val 21532344"/>
                          <a:gd name="adj2" fmla="val 5420417"/>
                        </a:avLst>
                      </a:prstGeom>
                      <a:ln w="19050">
                        <a:solidFill>
                          <a:schemeClr val="accent2">
                            <a:lumMod val="75000"/>
                          </a:schemeClr>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94" name="弧形 693"/>
                      <xdr:cNvSpPr>
                        <a:spLocks noChangeAspect="1"/>
                      </xdr:cNvSpPr>
                    </xdr:nvSpPr>
                    <xdr:spPr>
                      <a:xfrm flipH="1">
                        <a:off x="12225396" y="1572718"/>
                        <a:ext cx="1239158" cy="1240291"/>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95" name="弧形 694"/>
                      <xdr:cNvSpPr>
                        <a:spLocks noChangeAspect="1"/>
                      </xdr:cNvSpPr>
                    </xdr:nvSpPr>
                    <xdr:spPr>
                      <a:xfrm flipH="1">
                        <a:off x="12196766" y="1557341"/>
                        <a:ext cx="1294391" cy="1296000"/>
                      </a:xfrm>
                      <a:prstGeom prst="arc">
                        <a:avLst>
                          <a:gd name="adj1" fmla="val 1345865"/>
                          <a:gd name="adj2" fmla="val 5424072"/>
                        </a:avLst>
                      </a:prstGeom>
                      <a:ln w="19050">
                        <a:solidFill>
                          <a:srgbClr val="00FFFF"/>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96" name="弧形 695"/>
                      <xdr:cNvSpPr>
                        <a:spLocks noChangeAspect="1"/>
                      </xdr:cNvSpPr>
                    </xdr:nvSpPr>
                    <xdr:spPr>
                      <a:xfrm flipH="1">
                        <a:off x="12163436" y="1519229"/>
                        <a:ext cx="1366751" cy="1366118"/>
                      </a:xfrm>
                      <a:prstGeom prst="arc">
                        <a:avLst>
                          <a:gd name="adj1" fmla="val 16276935"/>
                          <a:gd name="adj2" fmla="val 5396007"/>
                        </a:avLst>
                      </a:prstGeom>
                      <a:ln>
                        <a:prstDash val="dash"/>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sp macro="" textlink="">
                    <xdr:nvSpPr>
                      <xdr:cNvPr id="697" name="Line 25"/>
                      <xdr:cNvSpPr>
                        <a:spLocks noChangeShapeType="1"/>
                      </xdr:cNvSpPr>
                    </xdr:nvSpPr>
                    <xdr:spPr bwMode="auto">
                      <a:xfrm>
                        <a:off x="12844057" y="1524137"/>
                        <a:ext cx="1504949"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sp macro="" textlink="">
                    <xdr:nvSpPr>
                      <xdr:cNvPr id="698" name="矩形 697"/>
                      <xdr:cNvSpPr/>
                    </xdr:nvSpPr>
                    <xdr:spPr bwMode="auto">
                      <a:xfrm rot="2075997">
                        <a:off x="14228638" y="1513662"/>
                        <a:ext cx="247237" cy="45719"/>
                      </a:xfrm>
                      <a:prstGeom prst="rect">
                        <a:avLst/>
                      </a:prstGeom>
                      <a:solidFill>
                        <a:srgbClr val="00B050"/>
                      </a:solidFill>
                      <a:ln w="9525">
                        <a:solidFill>
                          <a:srgbClr val="00B050"/>
                        </a:solidFill>
                        <a:round/>
                        <a:headEnd type="stealth" w="med" len="med"/>
                        <a:tailEnd type="stealth" w="med" len="med"/>
                      </a:ln>
                      <a:extLst/>
                    </xdr:spPr>
                    <xdr:txBody>
                      <a:bodyPr vertOverflow="clip" horzOverflow="clip" rtlCol="0" anchor="t"/>
                      <a:lstStyle/>
                      <a:p>
                        <a:pPr algn="l"/>
                        <a:endParaRPr lang="zh-CN" altLang="en-US" sz="1100"/>
                      </a:p>
                    </xdr:txBody>
                  </xdr:sp>
                </xdr:grpSp>
              </xdr:grpSp>
            </xdr:grpSp>
          </xdr:grpSp>
          <xdr:sp macro="" textlink="">
            <xdr:nvSpPr>
              <xdr:cNvPr id="628" name="弧形 627"/>
              <xdr:cNvSpPr>
                <a:spLocks noChangeAspect="1"/>
              </xdr:cNvSpPr>
            </xdr:nvSpPr>
            <xdr:spPr>
              <a:xfrm flipH="1">
                <a:off x="375146" y="3395547"/>
                <a:ext cx="1031179" cy="1022661"/>
              </a:xfrm>
              <a:prstGeom prst="arc">
                <a:avLst>
                  <a:gd name="adj1" fmla="val 16190227"/>
                  <a:gd name="adj2" fmla="val 1084708"/>
                </a:avLst>
              </a:prstGeom>
              <a:ln w="19050">
                <a:solidFill>
                  <a:srgbClr val="00FFFF"/>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grpSp>
        <xdr:sp macro="" textlink="">
          <xdr:nvSpPr>
            <xdr:cNvPr id="626" name="弧形 625"/>
            <xdr:cNvSpPr>
              <a:spLocks noChangeAspect="1"/>
            </xdr:cNvSpPr>
          </xdr:nvSpPr>
          <xdr:spPr>
            <a:xfrm flipH="1">
              <a:off x="591999" y="3616572"/>
              <a:ext cx="590990" cy="588371"/>
            </a:xfrm>
            <a:prstGeom prst="arc">
              <a:avLst>
                <a:gd name="adj1" fmla="val 16128098"/>
                <a:gd name="adj2" fmla="val 79254"/>
              </a:avLst>
            </a:prstGeom>
            <a:ln w="19050">
              <a:solidFill>
                <a:srgbClr val="FF0000"/>
              </a:solidFill>
              <a:prstDash val="solid"/>
            </a:ln>
          </xdr:spPr>
          <xdr:style>
            <a:lnRef idx="1">
              <a:schemeClr val="dk1"/>
            </a:lnRef>
            <a:fillRef idx="0">
              <a:schemeClr val="dk1"/>
            </a:fillRef>
            <a:effectRef idx="0">
              <a:schemeClr val="dk1"/>
            </a:effectRef>
            <a:fontRef idx="minor">
              <a:schemeClr val="tx1"/>
            </a:fontRef>
          </xdr:style>
          <xdr:txBody>
            <a:bodyPr vertOverflow="clip" horzOverflow="clip" rtlCol="0" anchor="t"/>
            <a:lstStyle/>
            <a:p>
              <a:pPr algn="l"/>
              <a:endParaRPr lang="zh-CN" altLang="en-US" sz="1100"/>
            </a:p>
          </xdr:txBody>
        </xdr:sp>
      </xdr:grpSp>
      <xdr:sp macro="" textlink="">
        <xdr:nvSpPr>
          <xdr:cNvPr id="621" name="矩形 620"/>
          <xdr:cNvSpPr/>
        </xdr:nvSpPr>
        <xdr:spPr bwMode="auto">
          <a:xfrm>
            <a:off x="1399150" y="4385160"/>
            <a:ext cx="459350" cy="36000"/>
          </a:xfrm>
          <a:prstGeom prst="rect">
            <a:avLst/>
          </a:prstGeom>
          <a:solidFill>
            <a:schemeClr val="accent2"/>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622" name="矩形 621"/>
          <xdr:cNvSpPr/>
        </xdr:nvSpPr>
        <xdr:spPr bwMode="auto">
          <a:xfrm>
            <a:off x="3751793" y="4457378"/>
            <a:ext cx="447041" cy="36000"/>
          </a:xfrm>
          <a:prstGeom prst="rect">
            <a:avLst/>
          </a:prstGeom>
          <a:solidFill>
            <a:schemeClr val="tx2"/>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623" name="矩形 622"/>
          <xdr:cNvSpPr/>
        </xdr:nvSpPr>
        <xdr:spPr bwMode="auto">
          <a:xfrm>
            <a:off x="1399150" y="4237892"/>
            <a:ext cx="459350" cy="36000"/>
          </a:xfrm>
          <a:prstGeom prst="rect">
            <a:avLst/>
          </a:prstGeom>
          <a:solidFill>
            <a:schemeClr val="accent2"/>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624" name="矩形 623"/>
          <xdr:cNvSpPr/>
        </xdr:nvSpPr>
        <xdr:spPr bwMode="auto">
          <a:xfrm>
            <a:off x="3751795" y="4313622"/>
            <a:ext cx="447041" cy="36000"/>
          </a:xfrm>
          <a:prstGeom prst="rect">
            <a:avLst/>
          </a:prstGeom>
          <a:solidFill>
            <a:schemeClr val="tx2"/>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grpSp>
    <xdr:clientData/>
  </xdr:twoCellAnchor>
  <xdr:twoCellAnchor>
    <xdr:from>
      <xdr:col>2</xdr:col>
      <xdr:colOff>91440</xdr:colOff>
      <xdr:row>26</xdr:row>
      <xdr:rowOff>7620</xdr:rowOff>
    </xdr:from>
    <xdr:to>
      <xdr:col>2</xdr:col>
      <xdr:colOff>426720</xdr:colOff>
      <xdr:row>26</xdr:row>
      <xdr:rowOff>7620</xdr:rowOff>
    </xdr:to>
    <xdr:sp macro="" textlink="">
      <xdr:nvSpPr>
        <xdr:cNvPr id="699" name="Line 29"/>
        <xdr:cNvSpPr>
          <a:spLocks noChangeShapeType="1"/>
        </xdr:cNvSpPr>
      </xdr:nvSpPr>
      <xdr:spPr bwMode="auto">
        <a:xfrm>
          <a:off x="922020" y="5021580"/>
          <a:ext cx="335280" cy="0"/>
        </a:xfrm>
        <a:prstGeom prst="line">
          <a:avLst/>
        </a:prstGeom>
        <a:noFill/>
        <a:ln w="19050">
          <a:solidFill>
            <a:srgbClr val="FF0000"/>
          </a:solidFill>
          <a:round/>
          <a:headEnd/>
          <a:tailEnd/>
        </a:ln>
        <a:extLst>
          <a:ext uri="{909E8E84-426E-40DD-AFC4-6F175D3DCCD1}">
            <a14:hiddenFill xmlns:a14="http://schemas.microsoft.com/office/drawing/2010/main">
              <a:noFill/>
            </a14:hiddenFill>
          </a:ext>
        </a:extLst>
      </xdr:spPr>
    </xdr:sp>
    <xdr:clientData/>
  </xdr:twoCellAnchor>
  <xdr:twoCellAnchor>
    <xdr:from>
      <xdr:col>4</xdr:col>
      <xdr:colOff>99060</xdr:colOff>
      <xdr:row>26</xdr:row>
      <xdr:rowOff>0</xdr:rowOff>
    </xdr:from>
    <xdr:to>
      <xdr:col>4</xdr:col>
      <xdr:colOff>434340</xdr:colOff>
      <xdr:row>26</xdr:row>
      <xdr:rowOff>0</xdr:rowOff>
    </xdr:to>
    <xdr:sp macro="" textlink="">
      <xdr:nvSpPr>
        <xdr:cNvPr id="700" name="Line 29"/>
        <xdr:cNvSpPr>
          <a:spLocks noChangeShapeType="1"/>
        </xdr:cNvSpPr>
      </xdr:nvSpPr>
      <xdr:spPr bwMode="auto">
        <a:xfrm>
          <a:off x="2240280" y="5013960"/>
          <a:ext cx="335280" cy="0"/>
        </a:xfrm>
        <a:prstGeom prst="line">
          <a:avLst/>
        </a:prstGeom>
        <a:noFill/>
        <a:ln w="19050">
          <a:solidFill>
            <a:srgbClr val="00FFFF"/>
          </a:solidFill>
          <a:round/>
          <a:headEnd/>
          <a:tailEnd/>
        </a:ln>
        <a:extLst>
          <a:ext uri="{909E8E84-426E-40DD-AFC4-6F175D3DCCD1}">
            <a14:hiddenFill xmlns:a14="http://schemas.microsoft.com/office/drawing/2010/main">
              <a:noFill/>
            </a14:hiddenFill>
          </a:ext>
        </a:extLst>
      </xdr:spPr>
    </xdr:sp>
    <xdr:clientData/>
  </xdr:twoCellAnchor>
  <xdr:twoCellAnchor>
    <xdr:from>
      <xdr:col>4</xdr:col>
      <xdr:colOff>676275</xdr:colOff>
      <xdr:row>25</xdr:row>
      <xdr:rowOff>180975</xdr:rowOff>
    </xdr:from>
    <xdr:to>
      <xdr:col>5</xdr:col>
      <xdr:colOff>457200</xdr:colOff>
      <xdr:row>25</xdr:row>
      <xdr:rowOff>180975</xdr:rowOff>
    </xdr:to>
    <xdr:sp macro="" textlink="">
      <xdr:nvSpPr>
        <xdr:cNvPr id="298" name="Line 25"/>
        <xdr:cNvSpPr>
          <a:spLocks noChangeShapeType="1"/>
        </xdr:cNvSpPr>
      </xdr:nvSpPr>
      <xdr:spPr bwMode="auto">
        <a:xfrm>
          <a:off x="3057525" y="5114925"/>
          <a:ext cx="504825" cy="0"/>
        </a:xfrm>
        <a:prstGeom prst="line">
          <a:avLst/>
        </a:prstGeom>
        <a:noFill/>
        <a:ln w="9525">
          <a:solidFill>
            <a:srgbClr xmlns:mc="http://schemas.openxmlformats.org/markup-compatibility/2006" xmlns:a14="http://schemas.microsoft.com/office/drawing/2010/main" val="000000" mc:Ignorable="a14" a14:legacySpreadsheetColorIndex="64"/>
          </a:solidFill>
          <a:prstDash val="dash"/>
          <a:round/>
          <a:headEnd/>
          <a:tailEnd/>
        </a:ln>
        <a:extLst>
          <a:ext uri="{909E8E84-426E-40DD-AFC4-6F175D3DCCD1}">
            <a14:hiddenFill xmlns:a14="http://schemas.microsoft.com/office/drawing/2010/main">
              <a:noFill/>
            </a14:hiddenFill>
          </a:ext>
        </a:extLst>
      </xdr:spPr>
    </xdr:sp>
    <xdr:clientData/>
  </xdr:twoCellAnchor>
  <xdr:twoCellAnchor>
    <xdr:from>
      <xdr:col>1</xdr:col>
      <xdr:colOff>200025</xdr:colOff>
      <xdr:row>26</xdr:row>
      <xdr:rowOff>9525</xdr:rowOff>
    </xdr:from>
    <xdr:to>
      <xdr:col>1</xdr:col>
      <xdr:colOff>600075</xdr:colOff>
      <xdr:row>26</xdr:row>
      <xdr:rowOff>9525</xdr:rowOff>
    </xdr:to>
    <xdr:sp macro="" textlink="">
      <xdr:nvSpPr>
        <xdr:cNvPr id="299" name="Line 29"/>
        <xdr:cNvSpPr>
          <a:spLocks noChangeShapeType="1"/>
        </xdr:cNvSpPr>
      </xdr:nvSpPr>
      <xdr:spPr bwMode="auto">
        <a:xfrm>
          <a:off x="371475" y="5133975"/>
          <a:ext cx="400050" cy="0"/>
        </a:xfrm>
        <a:prstGeom prst="line">
          <a:avLst/>
        </a:prstGeom>
        <a:noFill/>
        <a:ln w="19050">
          <a:solidFill>
            <a:schemeClr val="accent2">
              <a:lumMod val="75000"/>
            </a:schemeClr>
          </a:solidFill>
          <a:round/>
          <a:headEnd/>
          <a:tailEnd/>
        </a:ln>
        <a:extLst>
          <a:ext uri="{909E8E84-426E-40DD-AFC4-6F175D3DCCD1}">
            <a14:hiddenFill xmlns:a14="http://schemas.microsoft.com/office/drawing/2010/main">
              <a:noFill/>
            </a14:hiddenFill>
          </a:ext>
        </a:extLst>
      </xdr:spPr>
    </xdr:sp>
    <xdr:clientData/>
  </xdr:twoCellAnchor>
  <xdr:twoCellAnchor>
    <xdr:from>
      <xdr:col>3</xdr:col>
      <xdr:colOff>171450</xdr:colOff>
      <xdr:row>26</xdr:row>
      <xdr:rowOff>0</xdr:rowOff>
    </xdr:from>
    <xdr:to>
      <xdr:col>3</xdr:col>
      <xdr:colOff>514350</xdr:colOff>
      <xdr:row>26</xdr:row>
      <xdr:rowOff>0</xdr:rowOff>
    </xdr:to>
    <xdr:sp macro="" textlink="">
      <xdr:nvSpPr>
        <xdr:cNvPr id="300" name="Line 29"/>
        <xdr:cNvSpPr>
          <a:spLocks noChangeShapeType="1"/>
        </xdr:cNvSpPr>
      </xdr:nvSpPr>
      <xdr:spPr bwMode="auto">
        <a:xfrm>
          <a:off x="1828800" y="5124450"/>
          <a:ext cx="342900" cy="0"/>
        </a:xfrm>
        <a:prstGeom prst="line">
          <a:avLst/>
        </a:prstGeom>
        <a:noFill/>
        <a:ln w="19050">
          <a:solidFill>
            <a:srgbClr val="2902EE"/>
          </a:solidFill>
          <a:round/>
          <a:headEnd/>
          <a:tailEnd/>
        </a:ln>
        <a:extLst>
          <a:ext uri="{909E8E84-426E-40DD-AFC4-6F175D3DCCD1}">
            <a14:hiddenFill xmlns:a14="http://schemas.microsoft.com/office/drawing/2010/main">
              <a:noFill/>
            </a14:hiddenFill>
          </a:ext>
        </a:extLst>
      </xdr:spPr>
    </xdr:sp>
    <xdr:clientData/>
  </xdr:twoCellAnchor>
  <xdr:twoCellAnchor>
    <xdr:from>
      <xdr:col>8</xdr:col>
      <xdr:colOff>685800</xdr:colOff>
      <xdr:row>12</xdr:row>
      <xdr:rowOff>186691</xdr:rowOff>
    </xdr:from>
    <xdr:to>
      <xdr:col>14</xdr:col>
      <xdr:colOff>233953</xdr:colOff>
      <xdr:row>26</xdr:row>
      <xdr:rowOff>111932</xdr:rowOff>
    </xdr:to>
    <xdr:grpSp>
      <xdr:nvGrpSpPr>
        <xdr:cNvPr id="202" name="组合 201"/>
        <xdr:cNvGrpSpPr/>
      </xdr:nvGrpSpPr>
      <xdr:grpSpPr>
        <a:xfrm>
          <a:off x="6105525" y="2644141"/>
          <a:ext cx="3929653" cy="2592241"/>
          <a:chOff x="8143875" y="1962400"/>
          <a:chExt cx="3294570" cy="2374828"/>
        </a:xfrm>
      </xdr:grpSpPr>
      <xdr:grpSp>
        <xdr:nvGrpSpPr>
          <xdr:cNvPr id="203" name="组合 202"/>
          <xdr:cNvGrpSpPr/>
        </xdr:nvGrpSpPr>
        <xdr:grpSpPr>
          <a:xfrm>
            <a:off x="8143875" y="1962400"/>
            <a:ext cx="3294570" cy="2374828"/>
            <a:chOff x="2236573" y="2052377"/>
            <a:chExt cx="4154476" cy="3050963"/>
          </a:xfrm>
        </xdr:grpSpPr>
        <xdr:sp macro="" textlink="">
          <xdr:nvSpPr>
            <xdr:cNvPr id="205" name="梯形 204"/>
            <xdr:cNvSpPr/>
          </xdr:nvSpPr>
          <xdr:spPr>
            <a:xfrm>
              <a:off x="3002691" y="2052377"/>
              <a:ext cx="716692" cy="557697"/>
            </a:xfrm>
            <a:prstGeom prst="trapezoid">
              <a:avLst/>
            </a:prstGeom>
            <a:solidFill>
              <a:srgbClr val="F79646"/>
            </a:solidFill>
            <a:ln w="9525" cap="flat" cmpd="sng" algn="ctr">
              <a:solidFill>
                <a:srgbClr val="F79646">
                  <a:shade val="95000"/>
                  <a:satMod val="105000"/>
                </a:srgbClr>
              </a:solidFill>
              <a:prstDash val="solid"/>
            </a:ln>
            <a:effectLst>
              <a:outerShdw blurRad="50800" dist="38100" dir="16200000" rotWithShape="0">
                <a:prstClr val="black">
                  <a:alpha val="40000"/>
                </a:prstClr>
              </a:outerShdw>
            </a:effectLst>
          </xdr:spPr>
          <xdr:txBody>
            <a:bodyPr rot="0" spcFirstLastPara="0" vert="horz" wrap="square" lIns="91440" tIns="45720" rIns="91440" bIns="45720" numCol="1" spcCol="0" rtlCol="0" fromWordArt="0" anchor="ctr" anchorCtr="0" forceAA="0" compatLnSpc="1">
              <a:prstTxWarp prst="textNoShape">
                <a:avLst/>
              </a:prstTxWarp>
              <a:noAutofit/>
            </a:bodyPr>
            <a:lstStyle>
              <a:defPPr>
                <a:defRPr lang="zh-CN"/>
              </a:defPPr>
              <a:lvl1pPr marL="0" algn="l" defTabSz="609585" rtl="0" eaLnBrk="1" latinLnBrk="0" hangingPunct="1">
                <a:defRPr sz="2400" kern="1200">
                  <a:solidFill>
                    <a:schemeClr val="lt1"/>
                  </a:solidFill>
                  <a:latin typeface="+mn-lt"/>
                  <a:ea typeface="+mn-ea"/>
                  <a:cs typeface="+mn-cs"/>
                </a:defRPr>
              </a:lvl1pPr>
              <a:lvl2pPr marL="609585" algn="l" defTabSz="609585" rtl="0" eaLnBrk="1" latinLnBrk="0" hangingPunct="1">
                <a:defRPr sz="2400" kern="1200">
                  <a:solidFill>
                    <a:schemeClr val="lt1"/>
                  </a:solidFill>
                  <a:latin typeface="+mn-lt"/>
                  <a:ea typeface="+mn-ea"/>
                  <a:cs typeface="+mn-cs"/>
                </a:defRPr>
              </a:lvl2pPr>
              <a:lvl3pPr marL="1219170" algn="l" defTabSz="609585" rtl="0" eaLnBrk="1" latinLnBrk="0" hangingPunct="1">
                <a:defRPr sz="2400" kern="1200">
                  <a:solidFill>
                    <a:schemeClr val="lt1"/>
                  </a:solidFill>
                  <a:latin typeface="+mn-lt"/>
                  <a:ea typeface="+mn-ea"/>
                  <a:cs typeface="+mn-cs"/>
                </a:defRPr>
              </a:lvl3pPr>
              <a:lvl4pPr marL="1828754" algn="l" defTabSz="609585" rtl="0" eaLnBrk="1" latinLnBrk="0" hangingPunct="1">
                <a:defRPr sz="2400" kern="1200">
                  <a:solidFill>
                    <a:schemeClr val="lt1"/>
                  </a:solidFill>
                  <a:latin typeface="+mn-lt"/>
                  <a:ea typeface="+mn-ea"/>
                  <a:cs typeface="+mn-cs"/>
                </a:defRPr>
              </a:lvl4pPr>
              <a:lvl5pPr marL="2438339" algn="l" defTabSz="609585" rtl="0" eaLnBrk="1" latinLnBrk="0" hangingPunct="1">
                <a:defRPr sz="2400" kern="1200">
                  <a:solidFill>
                    <a:schemeClr val="lt1"/>
                  </a:solidFill>
                  <a:latin typeface="+mn-lt"/>
                  <a:ea typeface="+mn-ea"/>
                  <a:cs typeface="+mn-cs"/>
                </a:defRPr>
              </a:lvl5pPr>
              <a:lvl6pPr marL="3047924" algn="l" defTabSz="609585" rtl="0" eaLnBrk="1" latinLnBrk="0" hangingPunct="1">
                <a:defRPr sz="2400" kern="1200">
                  <a:solidFill>
                    <a:schemeClr val="lt1"/>
                  </a:solidFill>
                  <a:latin typeface="+mn-lt"/>
                  <a:ea typeface="+mn-ea"/>
                  <a:cs typeface="+mn-cs"/>
                </a:defRPr>
              </a:lvl6pPr>
              <a:lvl7pPr marL="3657509" algn="l" defTabSz="609585" rtl="0" eaLnBrk="1" latinLnBrk="0" hangingPunct="1">
                <a:defRPr sz="2400" kern="1200">
                  <a:solidFill>
                    <a:schemeClr val="lt1"/>
                  </a:solidFill>
                  <a:latin typeface="+mn-lt"/>
                  <a:ea typeface="+mn-ea"/>
                  <a:cs typeface="+mn-cs"/>
                </a:defRPr>
              </a:lvl7pPr>
              <a:lvl8pPr marL="4267093" algn="l" defTabSz="609585" rtl="0" eaLnBrk="1" latinLnBrk="0" hangingPunct="1">
                <a:defRPr sz="2400" kern="1200">
                  <a:solidFill>
                    <a:schemeClr val="lt1"/>
                  </a:solidFill>
                  <a:latin typeface="+mn-lt"/>
                  <a:ea typeface="+mn-ea"/>
                  <a:cs typeface="+mn-cs"/>
                </a:defRPr>
              </a:lvl8pPr>
              <a:lvl9pPr marL="4876678" algn="l" defTabSz="609585" rtl="0" eaLnBrk="1" latinLnBrk="0" hangingPunct="1">
                <a:defRPr sz="2400" kern="1200">
                  <a:solidFill>
                    <a:schemeClr val="lt1"/>
                  </a:solidFill>
                  <a:latin typeface="+mn-lt"/>
                  <a:ea typeface="+mn-ea"/>
                  <a:cs typeface="+mn-cs"/>
                </a:defRPr>
              </a:lvl9pPr>
            </a:lstStyle>
            <a:p>
              <a:pPr marL="0" marR="0" lvl="0" indent="0" algn="ctr" defTabSz="609585" rtl="0" eaLnBrk="1" fontAlgn="auto" latinLnBrk="0" hangingPunct="1">
                <a:lnSpc>
                  <a:spcPct val="100000"/>
                </a:lnSpc>
                <a:spcBef>
                  <a:spcPts val="0"/>
                </a:spcBef>
                <a:spcAft>
                  <a:spcPts val="0"/>
                </a:spcAft>
                <a:buClrTx/>
                <a:buSzTx/>
                <a:buFontTx/>
                <a:buNone/>
                <a:tabLst/>
                <a:defRPr/>
              </a:pPr>
              <a:endParaRPr kumimoji="0" lang="zh-CN" altLang="en-US" sz="2400" b="0" i="0" u="none" strike="noStrike" kern="1200" cap="none" spc="0" normalizeH="0" baseline="0" noProof="0">
                <a:ln>
                  <a:noFill/>
                </a:ln>
                <a:solidFill>
                  <a:sysClr val="window" lastClr="FFFFFF"/>
                </a:solidFill>
                <a:effectLst/>
                <a:uLnTx/>
                <a:uFillTx/>
                <a:latin typeface="Calibri"/>
                <a:ea typeface="宋体"/>
                <a:cs typeface="+mn-cs"/>
              </a:endParaRPr>
            </a:p>
          </xdr:txBody>
        </xdr:sp>
        <xdr:sp macro="" textlink="">
          <xdr:nvSpPr>
            <xdr:cNvPr id="206" name="梯形 205"/>
            <xdr:cNvSpPr/>
          </xdr:nvSpPr>
          <xdr:spPr>
            <a:xfrm>
              <a:off x="4765589" y="2052378"/>
              <a:ext cx="716692" cy="557697"/>
            </a:xfrm>
            <a:prstGeom prst="trapezoid">
              <a:avLst/>
            </a:prstGeom>
            <a:solidFill>
              <a:sysClr val="window" lastClr="FFFFFF">
                <a:lumMod val="75000"/>
              </a:sysClr>
            </a:solidFill>
            <a:ln w="9525" cap="flat" cmpd="sng" algn="ctr">
              <a:noFill/>
              <a:prstDash val="solid"/>
            </a:ln>
            <a:effectLst>
              <a:outerShdw blurRad="50800" dist="38100" dir="16200000" rotWithShape="0">
                <a:prstClr val="black">
                  <a:alpha val="40000"/>
                </a:prstClr>
              </a:outerShdw>
            </a:effectLst>
          </xdr:spPr>
          <xdr:txBody>
            <a:bodyPr rot="0" spcFirstLastPara="0" vert="horz" wrap="square" lIns="91440" tIns="45720" rIns="91440" bIns="45720" numCol="1" spcCol="0" rtlCol="0" fromWordArt="0" anchor="ctr" anchorCtr="0" forceAA="0" compatLnSpc="1">
              <a:prstTxWarp prst="textNoShape">
                <a:avLst/>
              </a:prstTxWarp>
              <a:noAutofit/>
            </a:bodyPr>
            <a:lstStyle>
              <a:defPPr>
                <a:defRPr lang="zh-CN"/>
              </a:defPPr>
              <a:lvl1pPr marL="0" algn="l" defTabSz="609585" rtl="0" eaLnBrk="1" latinLnBrk="0" hangingPunct="1">
                <a:defRPr sz="2400" kern="1200">
                  <a:solidFill>
                    <a:schemeClr val="dk1"/>
                  </a:solidFill>
                  <a:latin typeface="+mn-lt"/>
                  <a:ea typeface="+mn-ea"/>
                  <a:cs typeface="+mn-cs"/>
                </a:defRPr>
              </a:lvl1pPr>
              <a:lvl2pPr marL="609585" algn="l" defTabSz="609585" rtl="0" eaLnBrk="1" latinLnBrk="0" hangingPunct="1">
                <a:defRPr sz="2400" kern="1200">
                  <a:solidFill>
                    <a:schemeClr val="dk1"/>
                  </a:solidFill>
                  <a:latin typeface="+mn-lt"/>
                  <a:ea typeface="+mn-ea"/>
                  <a:cs typeface="+mn-cs"/>
                </a:defRPr>
              </a:lvl2pPr>
              <a:lvl3pPr marL="1219170" algn="l" defTabSz="609585" rtl="0" eaLnBrk="1" latinLnBrk="0" hangingPunct="1">
                <a:defRPr sz="2400" kern="1200">
                  <a:solidFill>
                    <a:schemeClr val="dk1"/>
                  </a:solidFill>
                  <a:latin typeface="+mn-lt"/>
                  <a:ea typeface="+mn-ea"/>
                  <a:cs typeface="+mn-cs"/>
                </a:defRPr>
              </a:lvl3pPr>
              <a:lvl4pPr marL="1828754" algn="l" defTabSz="609585" rtl="0" eaLnBrk="1" latinLnBrk="0" hangingPunct="1">
                <a:defRPr sz="2400" kern="1200">
                  <a:solidFill>
                    <a:schemeClr val="dk1"/>
                  </a:solidFill>
                  <a:latin typeface="+mn-lt"/>
                  <a:ea typeface="+mn-ea"/>
                  <a:cs typeface="+mn-cs"/>
                </a:defRPr>
              </a:lvl4pPr>
              <a:lvl5pPr marL="2438339" algn="l" defTabSz="609585" rtl="0" eaLnBrk="1" latinLnBrk="0" hangingPunct="1">
                <a:defRPr sz="2400" kern="1200">
                  <a:solidFill>
                    <a:schemeClr val="dk1"/>
                  </a:solidFill>
                  <a:latin typeface="+mn-lt"/>
                  <a:ea typeface="+mn-ea"/>
                  <a:cs typeface="+mn-cs"/>
                </a:defRPr>
              </a:lvl5pPr>
              <a:lvl6pPr marL="3047924" algn="l" defTabSz="609585" rtl="0" eaLnBrk="1" latinLnBrk="0" hangingPunct="1">
                <a:defRPr sz="2400" kern="1200">
                  <a:solidFill>
                    <a:schemeClr val="dk1"/>
                  </a:solidFill>
                  <a:latin typeface="+mn-lt"/>
                  <a:ea typeface="+mn-ea"/>
                  <a:cs typeface="+mn-cs"/>
                </a:defRPr>
              </a:lvl6pPr>
              <a:lvl7pPr marL="3657509" algn="l" defTabSz="609585" rtl="0" eaLnBrk="1" latinLnBrk="0" hangingPunct="1">
                <a:defRPr sz="2400" kern="1200">
                  <a:solidFill>
                    <a:schemeClr val="dk1"/>
                  </a:solidFill>
                  <a:latin typeface="+mn-lt"/>
                  <a:ea typeface="+mn-ea"/>
                  <a:cs typeface="+mn-cs"/>
                </a:defRPr>
              </a:lvl7pPr>
              <a:lvl8pPr marL="4267093" algn="l" defTabSz="609585" rtl="0" eaLnBrk="1" latinLnBrk="0" hangingPunct="1">
                <a:defRPr sz="2400" kern="1200">
                  <a:solidFill>
                    <a:schemeClr val="dk1"/>
                  </a:solidFill>
                  <a:latin typeface="+mn-lt"/>
                  <a:ea typeface="+mn-ea"/>
                  <a:cs typeface="+mn-cs"/>
                </a:defRPr>
              </a:lvl8pPr>
              <a:lvl9pPr marL="4876678" algn="l" defTabSz="609585" rtl="0" eaLnBrk="1" latinLnBrk="0" hangingPunct="1">
                <a:defRPr sz="2400" kern="1200">
                  <a:solidFill>
                    <a:schemeClr val="dk1"/>
                  </a:solidFill>
                  <a:latin typeface="+mn-lt"/>
                  <a:ea typeface="+mn-ea"/>
                  <a:cs typeface="+mn-cs"/>
                </a:defRPr>
              </a:lvl9pPr>
            </a:lstStyle>
            <a:p>
              <a:pPr marL="0" marR="0" lvl="0" indent="0" algn="ctr" defTabSz="609585" rtl="0" eaLnBrk="1" fontAlgn="auto" latinLnBrk="0" hangingPunct="1">
                <a:lnSpc>
                  <a:spcPct val="100000"/>
                </a:lnSpc>
                <a:spcBef>
                  <a:spcPts val="0"/>
                </a:spcBef>
                <a:spcAft>
                  <a:spcPts val="0"/>
                </a:spcAft>
                <a:buClrTx/>
                <a:buSzTx/>
                <a:buFontTx/>
                <a:buNone/>
                <a:tabLst/>
                <a:defRPr/>
              </a:pPr>
              <a:endParaRPr kumimoji="0" lang="zh-CN" altLang="en-US" sz="2400" b="0" i="0" u="none" strike="noStrike" kern="1200" cap="none" spc="0" normalizeH="0" baseline="0" noProof="0">
                <a:ln>
                  <a:noFill/>
                </a:ln>
                <a:solidFill>
                  <a:sysClr val="windowText" lastClr="000000"/>
                </a:solidFill>
                <a:effectLst/>
                <a:uLnTx/>
                <a:uFillTx/>
                <a:latin typeface="Calibri"/>
                <a:ea typeface="宋体"/>
                <a:cs typeface="+mn-cs"/>
              </a:endParaRPr>
            </a:p>
          </xdr:txBody>
        </xdr:sp>
        <xdr:sp macro="" textlink="">
          <xdr:nvSpPr>
            <xdr:cNvPr id="207" name="矩形 206"/>
            <xdr:cNvSpPr/>
          </xdr:nvSpPr>
          <xdr:spPr>
            <a:xfrm>
              <a:off x="2236573" y="2545491"/>
              <a:ext cx="4003589" cy="2557849"/>
            </a:xfrm>
            <a:prstGeom prst="rect">
              <a:avLst/>
            </a:prstGeom>
            <a:solidFill>
              <a:srgbClr val="F8F8F8"/>
            </a:solidFill>
            <a:ln>
              <a:solidFill>
                <a:schemeClr val="bg1">
                  <a:lumMod val="50000"/>
                </a:schemeClr>
              </a:solidFill>
            </a:ln>
            <a:effectLst>
              <a:outerShdw blurRad="40000" dist="20000" dir="5400000" rotWithShape="0">
                <a:srgbClr val="000000">
                  <a:alpha val="38000"/>
                </a:srgbClr>
              </a:outerShdw>
              <a:softEdge rad="31750"/>
            </a:effectLst>
            <a:scene3d>
              <a:camera prst="orthographicFront"/>
              <a:lightRig rig="threePt" dir="t"/>
            </a:scene3d>
            <a:sp3d>
              <a:bevelT/>
              <a:bevelB/>
            </a:sp3d>
          </xdr:spPr>
          <xdr:style>
            <a:lnRef idx="1">
              <a:schemeClr val="dk1"/>
            </a:lnRef>
            <a:fillRef idx="2">
              <a:schemeClr val="dk1"/>
            </a:fillRef>
            <a:effectRef idx="1">
              <a:schemeClr val="dk1"/>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zh-CN"/>
              </a:defPPr>
              <a:lvl1pPr marL="0" algn="l" defTabSz="609585" rtl="0" eaLnBrk="1" latinLnBrk="0" hangingPunct="1">
                <a:defRPr sz="2400" kern="1200">
                  <a:solidFill>
                    <a:schemeClr val="lt1"/>
                  </a:solidFill>
                  <a:latin typeface="+mn-lt"/>
                  <a:ea typeface="+mn-ea"/>
                  <a:cs typeface="+mn-cs"/>
                </a:defRPr>
              </a:lvl1pPr>
              <a:lvl2pPr marL="609585" algn="l" defTabSz="609585" rtl="0" eaLnBrk="1" latinLnBrk="0" hangingPunct="1">
                <a:defRPr sz="2400" kern="1200">
                  <a:solidFill>
                    <a:schemeClr val="lt1"/>
                  </a:solidFill>
                  <a:latin typeface="+mn-lt"/>
                  <a:ea typeface="+mn-ea"/>
                  <a:cs typeface="+mn-cs"/>
                </a:defRPr>
              </a:lvl2pPr>
              <a:lvl3pPr marL="1219170" algn="l" defTabSz="609585" rtl="0" eaLnBrk="1" latinLnBrk="0" hangingPunct="1">
                <a:defRPr sz="2400" kern="1200">
                  <a:solidFill>
                    <a:schemeClr val="lt1"/>
                  </a:solidFill>
                  <a:latin typeface="+mn-lt"/>
                  <a:ea typeface="+mn-ea"/>
                  <a:cs typeface="+mn-cs"/>
                </a:defRPr>
              </a:lvl3pPr>
              <a:lvl4pPr marL="1828754" algn="l" defTabSz="609585" rtl="0" eaLnBrk="1" latinLnBrk="0" hangingPunct="1">
                <a:defRPr sz="2400" kern="1200">
                  <a:solidFill>
                    <a:schemeClr val="lt1"/>
                  </a:solidFill>
                  <a:latin typeface="+mn-lt"/>
                  <a:ea typeface="+mn-ea"/>
                  <a:cs typeface="+mn-cs"/>
                </a:defRPr>
              </a:lvl4pPr>
              <a:lvl5pPr marL="2438339" algn="l" defTabSz="609585" rtl="0" eaLnBrk="1" latinLnBrk="0" hangingPunct="1">
                <a:defRPr sz="2400" kern="1200">
                  <a:solidFill>
                    <a:schemeClr val="lt1"/>
                  </a:solidFill>
                  <a:latin typeface="+mn-lt"/>
                  <a:ea typeface="+mn-ea"/>
                  <a:cs typeface="+mn-cs"/>
                </a:defRPr>
              </a:lvl5pPr>
              <a:lvl6pPr marL="3047924" algn="l" defTabSz="609585" rtl="0" eaLnBrk="1" latinLnBrk="0" hangingPunct="1">
                <a:defRPr sz="2400" kern="1200">
                  <a:solidFill>
                    <a:schemeClr val="lt1"/>
                  </a:solidFill>
                  <a:latin typeface="+mn-lt"/>
                  <a:ea typeface="+mn-ea"/>
                  <a:cs typeface="+mn-cs"/>
                </a:defRPr>
              </a:lvl6pPr>
              <a:lvl7pPr marL="3657509" algn="l" defTabSz="609585" rtl="0" eaLnBrk="1" latinLnBrk="0" hangingPunct="1">
                <a:defRPr sz="2400" kern="1200">
                  <a:solidFill>
                    <a:schemeClr val="lt1"/>
                  </a:solidFill>
                  <a:latin typeface="+mn-lt"/>
                  <a:ea typeface="+mn-ea"/>
                  <a:cs typeface="+mn-cs"/>
                </a:defRPr>
              </a:lvl7pPr>
              <a:lvl8pPr marL="4267093" algn="l" defTabSz="609585" rtl="0" eaLnBrk="1" latinLnBrk="0" hangingPunct="1">
                <a:defRPr sz="2400" kern="1200">
                  <a:solidFill>
                    <a:schemeClr val="lt1"/>
                  </a:solidFill>
                  <a:latin typeface="+mn-lt"/>
                  <a:ea typeface="+mn-ea"/>
                  <a:cs typeface="+mn-cs"/>
                </a:defRPr>
              </a:lvl8pPr>
              <a:lvl9pPr marL="4876678" algn="l" defTabSz="609585" rtl="0" eaLnBrk="1" latinLnBrk="0" hangingPunct="1">
                <a:defRPr sz="2400" kern="1200">
                  <a:solidFill>
                    <a:schemeClr val="lt1"/>
                  </a:solidFill>
                  <a:latin typeface="+mn-lt"/>
                  <a:ea typeface="+mn-ea"/>
                  <a:cs typeface="+mn-cs"/>
                </a:defRPr>
              </a:lvl9pPr>
            </a:lstStyle>
            <a:p>
              <a:pPr marL="0" marR="0" lvl="0" indent="0" algn="ctr" defTabSz="609585" rtl="0" eaLnBrk="1" fontAlgn="auto" latinLnBrk="0" hangingPunct="1">
                <a:lnSpc>
                  <a:spcPct val="100000"/>
                </a:lnSpc>
                <a:spcBef>
                  <a:spcPts val="0"/>
                </a:spcBef>
                <a:spcAft>
                  <a:spcPts val="0"/>
                </a:spcAft>
                <a:buClrTx/>
                <a:buSzTx/>
                <a:buFontTx/>
                <a:buNone/>
                <a:tabLst/>
                <a:defRPr/>
              </a:pPr>
              <a:endParaRPr kumimoji="0" lang="zh-CN" altLang="en-US" sz="2400" b="0" i="0" u="none" strike="noStrike" kern="1200" cap="none" spc="0" normalizeH="0" baseline="0" noProof="0">
                <a:ln>
                  <a:noFill/>
                </a:ln>
                <a:solidFill>
                  <a:sysClr val="window" lastClr="FFFFFF"/>
                </a:solidFill>
                <a:effectLst/>
                <a:uLnTx/>
                <a:uFillTx/>
                <a:latin typeface="Calibri"/>
                <a:ea typeface="宋体"/>
                <a:cs typeface="+mn-cs"/>
              </a:endParaRPr>
            </a:p>
          </xdr:txBody>
        </xdr:sp>
        <xdr:cxnSp macro="">
          <xdr:nvCxnSpPr>
            <xdr:cNvPr id="208" name="直接连接符 207"/>
            <xdr:cNvCxnSpPr/>
          </xdr:nvCxnSpPr>
          <xdr:spPr>
            <a:xfrm>
              <a:off x="5733534" y="2545492"/>
              <a:ext cx="0" cy="488092"/>
            </a:xfrm>
            <a:prstGeom prst="line">
              <a:avLst/>
            </a:prstGeom>
            <a:noFill/>
            <a:ln w="12700" cap="flat" cmpd="sng" algn="ctr">
              <a:solidFill>
                <a:sysClr val="windowText" lastClr="000000"/>
              </a:solidFill>
              <a:prstDash val="dash"/>
            </a:ln>
            <a:effectLst/>
          </xdr:spPr>
        </xdr:cxnSp>
        <xdr:cxnSp macro="">
          <xdr:nvCxnSpPr>
            <xdr:cNvPr id="301" name="直接箭头连接符 300"/>
            <xdr:cNvCxnSpPr/>
          </xdr:nvCxnSpPr>
          <xdr:spPr>
            <a:xfrm>
              <a:off x="5496044" y="3323967"/>
              <a:ext cx="744118" cy="1"/>
            </a:xfrm>
            <a:prstGeom prst="straightConnector1">
              <a:avLst/>
            </a:prstGeom>
            <a:noFill/>
            <a:ln w="9525" cap="flat" cmpd="sng" algn="ctr">
              <a:solidFill>
                <a:sysClr val="windowText" lastClr="000000"/>
              </a:solidFill>
              <a:prstDash val="solid"/>
              <a:headEnd type="arrow"/>
              <a:tailEnd type="arrow"/>
            </a:ln>
            <a:effectLst/>
          </xdr:spPr>
        </xdr:cxnSp>
        <xdr:cxnSp macro="">
          <xdr:nvCxnSpPr>
            <xdr:cNvPr id="302" name="直接箭头连接符 301"/>
            <xdr:cNvCxnSpPr/>
          </xdr:nvCxnSpPr>
          <xdr:spPr>
            <a:xfrm>
              <a:off x="5469179" y="2789538"/>
              <a:ext cx="255372" cy="0"/>
            </a:xfrm>
            <a:prstGeom prst="straightConnector1">
              <a:avLst/>
            </a:prstGeom>
            <a:noFill/>
            <a:ln w="9525" cap="flat" cmpd="sng" algn="ctr">
              <a:solidFill>
                <a:sysClr val="windowText" lastClr="000000"/>
              </a:solidFill>
              <a:prstDash val="solid"/>
              <a:headEnd type="arrow"/>
              <a:tailEnd type="arrow"/>
            </a:ln>
            <a:effectLst/>
          </xdr:spPr>
        </xdr:cxnSp>
        <xdr:sp macro="" textlink="">
          <xdr:nvSpPr>
            <xdr:cNvPr id="303" name="TextBox 20"/>
            <xdr:cNvSpPr txBox="1"/>
          </xdr:nvSpPr>
          <xdr:spPr>
            <a:xfrm>
              <a:off x="5346084" y="3334718"/>
              <a:ext cx="1044965" cy="342633"/>
            </a:xfrm>
            <a:prstGeom prst="rect">
              <a:avLst/>
            </a:prstGeom>
            <a:noFill/>
          </xdr:spPr>
          <xdr:txBody>
            <a:bodyPr wrap="square" rtlCol="0">
              <a:noAutofit/>
            </a:bodyPr>
            <a:lstStyle>
              <a:defPPr>
                <a:defRPr lang="zh-CN"/>
              </a:defPPr>
              <a:lvl1pPr marL="0" algn="l" defTabSz="609585" rtl="0" eaLnBrk="1" latinLnBrk="0" hangingPunct="1">
                <a:defRPr sz="2400" kern="1200">
                  <a:solidFill>
                    <a:schemeClr val="tx1"/>
                  </a:solidFill>
                  <a:latin typeface="+mn-lt"/>
                  <a:ea typeface="+mn-ea"/>
                  <a:cs typeface="+mn-cs"/>
                </a:defRPr>
              </a:lvl1pPr>
              <a:lvl2pPr marL="609585" algn="l" defTabSz="609585" rtl="0" eaLnBrk="1" latinLnBrk="0" hangingPunct="1">
                <a:defRPr sz="2400" kern="1200">
                  <a:solidFill>
                    <a:schemeClr val="tx1"/>
                  </a:solidFill>
                  <a:latin typeface="+mn-lt"/>
                  <a:ea typeface="+mn-ea"/>
                  <a:cs typeface="+mn-cs"/>
                </a:defRPr>
              </a:lvl2pPr>
              <a:lvl3pPr marL="1219170" algn="l" defTabSz="609585" rtl="0" eaLnBrk="1" latinLnBrk="0" hangingPunct="1">
                <a:defRPr sz="2400" kern="1200">
                  <a:solidFill>
                    <a:schemeClr val="tx1"/>
                  </a:solidFill>
                  <a:latin typeface="+mn-lt"/>
                  <a:ea typeface="+mn-ea"/>
                  <a:cs typeface="+mn-cs"/>
                </a:defRPr>
              </a:lvl3pPr>
              <a:lvl4pPr marL="1828754" algn="l" defTabSz="609585" rtl="0" eaLnBrk="1" latinLnBrk="0" hangingPunct="1">
                <a:defRPr sz="2400" kern="1200">
                  <a:solidFill>
                    <a:schemeClr val="tx1"/>
                  </a:solidFill>
                  <a:latin typeface="+mn-lt"/>
                  <a:ea typeface="+mn-ea"/>
                  <a:cs typeface="+mn-cs"/>
                </a:defRPr>
              </a:lvl4pPr>
              <a:lvl5pPr marL="2438339" algn="l" defTabSz="609585" rtl="0" eaLnBrk="1" latinLnBrk="0" hangingPunct="1">
                <a:defRPr sz="2400" kern="1200">
                  <a:solidFill>
                    <a:schemeClr val="tx1"/>
                  </a:solidFill>
                  <a:latin typeface="+mn-lt"/>
                  <a:ea typeface="+mn-ea"/>
                  <a:cs typeface="+mn-cs"/>
                </a:defRPr>
              </a:lvl5pPr>
              <a:lvl6pPr marL="3047924" algn="l" defTabSz="609585" rtl="0" eaLnBrk="1" latinLnBrk="0" hangingPunct="1">
                <a:defRPr sz="2400" kern="1200">
                  <a:solidFill>
                    <a:schemeClr val="tx1"/>
                  </a:solidFill>
                  <a:latin typeface="+mn-lt"/>
                  <a:ea typeface="+mn-ea"/>
                  <a:cs typeface="+mn-cs"/>
                </a:defRPr>
              </a:lvl6pPr>
              <a:lvl7pPr marL="3657509" algn="l" defTabSz="609585" rtl="0" eaLnBrk="1" latinLnBrk="0" hangingPunct="1">
                <a:defRPr sz="2400" kern="1200">
                  <a:solidFill>
                    <a:schemeClr val="tx1"/>
                  </a:solidFill>
                  <a:latin typeface="+mn-lt"/>
                  <a:ea typeface="+mn-ea"/>
                  <a:cs typeface="+mn-cs"/>
                </a:defRPr>
              </a:lvl7pPr>
              <a:lvl8pPr marL="4267093" algn="l" defTabSz="609585" rtl="0" eaLnBrk="1" latinLnBrk="0" hangingPunct="1">
                <a:defRPr sz="2400" kern="1200">
                  <a:solidFill>
                    <a:schemeClr val="tx1"/>
                  </a:solidFill>
                  <a:latin typeface="+mn-lt"/>
                  <a:ea typeface="+mn-ea"/>
                  <a:cs typeface="+mn-cs"/>
                </a:defRPr>
              </a:lvl8pPr>
              <a:lvl9pPr marL="4876678" algn="l" defTabSz="609585" rtl="0" eaLnBrk="1" latinLnBrk="0" hangingPunct="1">
                <a:defRPr sz="2400" kern="1200">
                  <a:solidFill>
                    <a:schemeClr val="tx1"/>
                  </a:solidFill>
                  <a:latin typeface="+mn-lt"/>
                  <a:ea typeface="+mn-ea"/>
                  <a:cs typeface="+mn-cs"/>
                </a:defRPr>
              </a:lvl9pPr>
            </a:lstStyle>
            <a:p>
              <a:pPr marL="0" marR="0" lvl="0" indent="0" algn="ctr" defTabSz="609585" rtl="0" eaLnBrk="1" fontAlgn="auto" latinLnBrk="0" hangingPunct="1">
                <a:lnSpc>
                  <a:spcPct val="100000"/>
                </a:lnSpc>
                <a:spcBef>
                  <a:spcPts val="0"/>
                </a:spcBef>
                <a:spcAft>
                  <a:spcPts val="0"/>
                </a:spcAft>
                <a:buClrTx/>
                <a:buSzTx/>
                <a:buFontTx/>
                <a:buNone/>
                <a:tabLst/>
                <a:defRPr/>
              </a:pPr>
              <a:r>
                <a:rPr kumimoji="0" lang="en-US" altLang="zh-CN" sz="1000" b="0" i="0" u="none" strike="noStrike" kern="1200" cap="none" spc="0" normalizeH="0" baseline="0" noProof="0">
                  <a:ln>
                    <a:noFill/>
                  </a:ln>
                  <a:solidFill>
                    <a:sysClr val="windowText" lastClr="000000"/>
                  </a:solidFill>
                  <a:effectLst/>
                  <a:uLnTx/>
                  <a:uFillTx/>
                  <a:latin typeface="Calibri"/>
                  <a:ea typeface="宋体"/>
                  <a:cs typeface="+mn-cs"/>
                </a:rPr>
                <a:t>Lb</a:t>
              </a:r>
              <a:endParaRPr kumimoji="0" lang="zh-CN" altLang="en-US" sz="1000" b="0" i="0" u="none" strike="noStrike" kern="1200" cap="none" spc="0" normalizeH="0" baseline="0" noProof="0">
                <a:ln>
                  <a:noFill/>
                </a:ln>
                <a:solidFill>
                  <a:sysClr val="windowText" lastClr="000000"/>
                </a:solidFill>
                <a:effectLst/>
                <a:uLnTx/>
                <a:uFillTx/>
                <a:latin typeface="Calibri"/>
                <a:ea typeface="宋体"/>
                <a:cs typeface="+mn-cs"/>
              </a:endParaRPr>
            </a:p>
          </xdr:txBody>
        </xdr:sp>
        <xdr:sp macro="" textlink="">
          <xdr:nvSpPr>
            <xdr:cNvPr id="304" name="TextBox 21"/>
            <xdr:cNvSpPr txBox="1"/>
          </xdr:nvSpPr>
          <xdr:spPr>
            <a:xfrm>
              <a:off x="5428555" y="2870370"/>
              <a:ext cx="407952" cy="339883"/>
            </a:xfrm>
            <a:prstGeom prst="rect">
              <a:avLst/>
            </a:prstGeom>
            <a:noFill/>
          </xdr:spPr>
          <xdr:txBody>
            <a:bodyPr wrap="square" rtlCol="0">
              <a:spAutoFit/>
            </a:bodyPr>
            <a:lstStyle>
              <a:defPPr>
                <a:defRPr lang="zh-CN"/>
              </a:defPPr>
              <a:lvl1pPr marL="0" algn="l" defTabSz="609585" rtl="0" eaLnBrk="1" latinLnBrk="0" hangingPunct="1">
                <a:defRPr sz="2400" kern="1200">
                  <a:solidFill>
                    <a:schemeClr val="tx1"/>
                  </a:solidFill>
                  <a:latin typeface="+mn-lt"/>
                  <a:ea typeface="+mn-ea"/>
                  <a:cs typeface="+mn-cs"/>
                </a:defRPr>
              </a:lvl1pPr>
              <a:lvl2pPr marL="609585" algn="l" defTabSz="609585" rtl="0" eaLnBrk="1" latinLnBrk="0" hangingPunct="1">
                <a:defRPr sz="2400" kern="1200">
                  <a:solidFill>
                    <a:schemeClr val="tx1"/>
                  </a:solidFill>
                  <a:latin typeface="+mn-lt"/>
                  <a:ea typeface="+mn-ea"/>
                  <a:cs typeface="+mn-cs"/>
                </a:defRPr>
              </a:lvl2pPr>
              <a:lvl3pPr marL="1219170" algn="l" defTabSz="609585" rtl="0" eaLnBrk="1" latinLnBrk="0" hangingPunct="1">
                <a:defRPr sz="2400" kern="1200">
                  <a:solidFill>
                    <a:schemeClr val="tx1"/>
                  </a:solidFill>
                  <a:latin typeface="+mn-lt"/>
                  <a:ea typeface="+mn-ea"/>
                  <a:cs typeface="+mn-cs"/>
                </a:defRPr>
              </a:lvl3pPr>
              <a:lvl4pPr marL="1828754" algn="l" defTabSz="609585" rtl="0" eaLnBrk="1" latinLnBrk="0" hangingPunct="1">
                <a:defRPr sz="2400" kern="1200">
                  <a:solidFill>
                    <a:schemeClr val="tx1"/>
                  </a:solidFill>
                  <a:latin typeface="+mn-lt"/>
                  <a:ea typeface="+mn-ea"/>
                  <a:cs typeface="+mn-cs"/>
                </a:defRPr>
              </a:lvl4pPr>
              <a:lvl5pPr marL="2438339" algn="l" defTabSz="609585" rtl="0" eaLnBrk="1" latinLnBrk="0" hangingPunct="1">
                <a:defRPr sz="2400" kern="1200">
                  <a:solidFill>
                    <a:schemeClr val="tx1"/>
                  </a:solidFill>
                  <a:latin typeface="+mn-lt"/>
                  <a:ea typeface="+mn-ea"/>
                  <a:cs typeface="+mn-cs"/>
                </a:defRPr>
              </a:lvl5pPr>
              <a:lvl6pPr marL="3047924" algn="l" defTabSz="609585" rtl="0" eaLnBrk="1" latinLnBrk="0" hangingPunct="1">
                <a:defRPr sz="2400" kern="1200">
                  <a:solidFill>
                    <a:schemeClr val="tx1"/>
                  </a:solidFill>
                  <a:latin typeface="+mn-lt"/>
                  <a:ea typeface="+mn-ea"/>
                  <a:cs typeface="+mn-cs"/>
                </a:defRPr>
              </a:lvl6pPr>
              <a:lvl7pPr marL="3657509" algn="l" defTabSz="609585" rtl="0" eaLnBrk="1" latinLnBrk="0" hangingPunct="1">
                <a:defRPr sz="2400" kern="1200">
                  <a:solidFill>
                    <a:schemeClr val="tx1"/>
                  </a:solidFill>
                  <a:latin typeface="+mn-lt"/>
                  <a:ea typeface="+mn-ea"/>
                  <a:cs typeface="+mn-cs"/>
                </a:defRPr>
              </a:lvl7pPr>
              <a:lvl8pPr marL="4267093" algn="l" defTabSz="609585" rtl="0" eaLnBrk="1" latinLnBrk="0" hangingPunct="1">
                <a:defRPr sz="2400" kern="1200">
                  <a:solidFill>
                    <a:schemeClr val="tx1"/>
                  </a:solidFill>
                  <a:latin typeface="+mn-lt"/>
                  <a:ea typeface="+mn-ea"/>
                  <a:cs typeface="+mn-cs"/>
                </a:defRPr>
              </a:lvl8pPr>
              <a:lvl9pPr marL="4876678" algn="l" defTabSz="609585" rtl="0" eaLnBrk="1" latinLnBrk="0" hangingPunct="1">
                <a:defRPr sz="2400" kern="1200">
                  <a:solidFill>
                    <a:schemeClr val="tx1"/>
                  </a:solidFill>
                  <a:latin typeface="+mn-lt"/>
                  <a:ea typeface="+mn-ea"/>
                  <a:cs typeface="+mn-cs"/>
                </a:defRPr>
              </a:lvl9pPr>
            </a:lstStyle>
            <a:p>
              <a:pPr marL="0" marR="0" lvl="0" indent="0" algn="l" defTabSz="609585" rtl="0" eaLnBrk="1" fontAlgn="auto" latinLnBrk="0" hangingPunct="1">
                <a:lnSpc>
                  <a:spcPct val="100000"/>
                </a:lnSpc>
                <a:spcBef>
                  <a:spcPts val="0"/>
                </a:spcBef>
                <a:spcAft>
                  <a:spcPts val="0"/>
                </a:spcAft>
                <a:buClrTx/>
                <a:buSzTx/>
                <a:buFontTx/>
                <a:buNone/>
                <a:tabLst/>
                <a:defRPr/>
              </a:pPr>
              <a:r>
                <a:rPr kumimoji="0" lang="en-US" altLang="zh-CN" sz="1100" b="0" i="0" u="none" strike="noStrike" kern="1200" cap="none" spc="0" normalizeH="0" baseline="0" noProof="0">
                  <a:ln>
                    <a:noFill/>
                  </a:ln>
                  <a:solidFill>
                    <a:sysClr val="windowText" lastClr="000000"/>
                  </a:solidFill>
                  <a:effectLst/>
                  <a:uLnTx/>
                  <a:uFillTx/>
                  <a:latin typeface="Calibri"/>
                  <a:ea typeface="宋体"/>
                  <a:cs typeface="+mn-cs"/>
                </a:rPr>
                <a:t>La</a:t>
              </a:r>
            </a:p>
          </xdr:txBody>
        </xdr:sp>
      </xdr:grpSp>
      <xdr:cxnSp macro="">
        <xdr:nvCxnSpPr>
          <xdr:cNvPr id="204" name="直接连接符 203"/>
          <xdr:cNvCxnSpPr/>
        </xdr:nvCxnSpPr>
        <xdr:spPr>
          <a:xfrm>
            <a:off x="10706100" y="2362200"/>
            <a:ext cx="0" cy="673076"/>
          </a:xfrm>
          <a:prstGeom prst="line">
            <a:avLst/>
          </a:prstGeom>
          <a:noFill/>
          <a:ln w="12700" cap="flat" cmpd="sng" algn="ctr">
            <a:solidFill>
              <a:sysClr val="windowText" lastClr="000000"/>
            </a:solidFill>
            <a:prstDash val="dash"/>
          </a:ln>
          <a:effectLst/>
        </xdr:spPr>
      </xdr:cxnSp>
    </xdr:grpSp>
    <xdr:clientData/>
  </xdr:twoCellAnchor>
  <xdr:twoCellAnchor>
    <xdr:from>
      <xdr:col>12</xdr:col>
      <xdr:colOff>512445</xdr:colOff>
      <xdr:row>11</xdr:row>
      <xdr:rowOff>19050</xdr:rowOff>
    </xdr:from>
    <xdr:to>
      <xdr:col>18</xdr:col>
      <xdr:colOff>624842</xdr:colOff>
      <xdr:row>19</xdr:row>
      <xdr:rowOff>154882</xdr:rowOff>
    </xdr:to>
    <xdr:grpSp>
      <xdr:nvGrpSpPr>
        <xdr:cNvPr id="305" name="组合 304"/>
        <xdr:cNvGrpSpPr/>
      </xdr:nvGrpSpPr>
      <xdr:grpSpPr>
        <a:xfrm>
          <a:off x="8808720" y="2286000"/>
          <a:ext cx="4417697" cy="1659832"/>
          <a:chOff x="14759940" y="754379"/>
          <a:chExt cx="3954782" cy="1619827"/>
        </a:xfrm>
      </xdr:grpSpPr>
      <xdr:grpSp>
        <xdr:nvGrpSpPr>
          <xdr:cNvPr id="306" name="组合 305"/>
          <xdr:cNvGrpSpPr/>
        </xdr:nvGrpSpPr>
        <xdr:grpSpPr>
          <a:xfrm>
            <a:off x="15742056" y="754379"/>
            <a:ext cx="2972666" cy="1619827"/>
            <a:chOff x="7447379" y="1616086"/>
            <a:chExt cx="3773220" cy="1820550"/>
          </a:xfrm>
        </xdr:grpSpPr>
        <xdr:pic>
          <xdr:nvPicPr>
            <xdr:cNvPr id="309" name="图片 308"/>
            <xdr:cNvPicPr>
              <a:picLocks noChangeAspect="1"/>
            </xdr:cNvPicPr>
          </xdr:nvPicPr>
          <xdr:blipFill rotWithShape="1">
            <a:blip xmlns:r="http://schemas.openxmlformats.org/officeDocument/2006/relationships" r:embed="rId1"/>
            <a:srcRect t="22075"/>
            <a:stretch/>
          </xdr:blipFill>
          <xdr:spPr>
            <a:xfrm>
              <a:off x="8315472" y="1616086"/>
              <a:ext cx="2905127" cy="1820550"/>
            </a:xfrm>
            <a:prstGeom prst="ellipse">
              <a:avLst/>
            </a:prstGeom>
            <a:ln>
              <a:noFill/>
            </a:ln>
            <a:effectLst>
              <a:softEdge rad="31750"/>
            </a:effectLst>
          </xdr:spPr>
        </xdr:pic>
        <xdr:cxnSp macro="">
          <xdr:nvCxnSpPr>
            <xdr:cNvPr id="310" name="直接连接符 309"/>
            <xdr:cNvCxnSpPr>
              <a:stCxn id="307" idx="5"/>
            </xdr:cNvCxnSpPr>
          </xdr:nvCxnSpPr>
          <xdr:spPr>
            <a:xfrm>
              <a:off x="7447379" y="2523860"/>
              <a:ext cx="1509945" cy="710869"/>
            </a:xfrm>
            <a:prstGeom prst="line">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grpSp>
      <xdr:sp macro="" textlink="">
        <xdr:nvSpPr>
          <xdr:cNvPr id="307" name="椭圆 306"/>
          <xdr:cNvSpPr/>
        </xdr:nvSpPr>
        <xdr:spPr bwMode="auto">
          <a:xfrm>
            <a:off x="14759940" y="1295400"/>
            <a:ext cx="1150620" cy="312420"/>
          </a:xfrm>
          <a:prstGeom prst="ellipse">
            <a:avLst/>
          </a:prstGeom>
          <a:noFill/>
          <a:ln w="9525">
            <a:solidFill>
              <a:srgbClr val="FF0000"/>
            </a:solidFill>
            <a:prstDash val="dash"/>
            <a:round/>
            <a:headEnd type="stealth" w="med" len="med"/>
            <a:tailEnd type="stealth" w="med" len="med"/>
          </a:ln>
          <a:extLst/>
        </xdr:spPr>
        <xdr:txBody>
          <a:bodyPr vertOverflow="clip" horzOverflow="clip" rtlCol="0" anchor="t"/>
          <a:lstStyle/>
          <a:p>
            <a:pPr algn="l"/>
            <a:endParaRPr lang="zh-CN" altLang="en-US" sz="1100"/>
          </a:p>
        </xdr:txBody>
      </xdr:sp>
      <xdr:cxnSp macro="">
        <xdr:nvCxnSpPr>
          <xdr:cNvPr id="308" name="直接连接符 307"/>
          <xdr:cNvCxnSpPr>
            <a:stCxn id="307" idx="7"/>
          </xdr:cNvCxnSpPr>
        </xdr:nvCxnSpPr>
        <xdr:spPr>
          <a:xfrm flipV="1">
            <a:off x="15742056" y="929640"/>
            <a:ext cx="1166724" cy="411513"/>
          </a:xfrm>
          <a:prstGeom prst="line">
            <a:avLst/>
          </a:prstGeom>
          <a:ln>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17</xdr:col>
      <xdr:colOff>28575</xdr:colOff>
      <xdr:row>16</xdr:row>
      <xdr:rowOff>38100</xdr:rowOff>
    </xdr:from>
    <xdr:to>
      <xdr:col>18</xdr:col>
      <xdr:colOff>392960</xdr:colOff>
      <xdr:row>23</xdr:row>
      <xdr:rowOff>185832</xdr:rowOff>
    </xdr:to>
    <xdr:grpSp>
      <xdr:nvGrpSpPr>
        <xdr:cNvPr id="311" name="组合 310"/>
        <xdr:cNvGrpSpPr/>
      </xdr:nvGrpSpPr>
      <xdr:grpSpPr>
        <a:xfrm>
          <a:off x="11953875" y="3257550"/>
          <a:ext cx="1040660" cy="1481232"/>
          <a:chOff x="19507200" y="1750695"/>
          <a:chExt cx="1040660" cy="1481232"/>
        </a:xfrm>
      </xdr:grpSpPr>
      <xdr:cxnSp macro="">
        <xdr:nvCxnSpPr>
          <xdr:cNvPr id="312" name="直接连接符 311"/>
          <xdr:cNvCxnSpPr/>
        </xdr:nvCxnSpPr>
        <xdr:spPr>
          <a:xfrm>
            <a:off x="19646265" y="1750695"/>
            <a:ext cx="0" cy="1440180"/>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xnSp macro="">
        <xdr:nvCxnSpPr>
          <xdr:cNvPr id="313" name="直接连接符 312"/>
          <xdr:cNvCxnSpPr/>
        </xdr:nvCxnSpPr>
        <xdr:spPr>
          <a:xfrm>
            <a:off x="19928205" y="1756410"/>
            <a:ext cx="0" cy="973455"/>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xnSp macro="">
        <xdr:nvCxnSpPr>
          <xdr:cNvPr id="314" name="直接连接符 313"/>
          <xdr:cNvCxnSpPr/>
        </xdr:nvCxnSpPr>
        <xdr:spPr>
          <a:xfrm>
            <a:off x="20453985" y="1750695"/>
            <a:ext cx="0" cy="1440180"/>
          </a:xfrm>
          <a:prstGeom prst="line">
            <a:avLst/>
          </a:prstGeom>
          <a:ln w="12700">
            <a:prstDash val="dash"/>
          </a:ln>
        </xdr:spPr>
        <xdr:style>
          <a:lnRef idx="1">
            <a:schemeClr val="dk1"/>
          </a:lnRef>
          <a:fillRef idx="0">
            <a:schemeClr val="dk1"/>
          </a:fillRef>
          <a:effectRef idx="0">
            <a:schemeClr val="dk1"/>
          </a:effectRef>
          <a:fontRef idx="minor">
            <a:schemeClr val="tx1"/>
          </a:fontRef>
        </xdr:style>
      </xdr:cxnSp>
      <xdr:cxnSp macro="">
        <xdr:nvCxnSpPr>
          <xdr:cNvPr id="315" name="直接箭头连接符 314"/>
          <xdr:cNvCxnSpPr/>
        </xdr:nvCxnSpPr>
        <xdr:spPr>
          <a:xfrm>
            <a:off x="19653885" y="2590801"/>
            <a:ext cx="265412" cy="0"/>
          </a:xfrm>
          <a:prstGeom prst="straightConnector1">
            <a:avLst/>
          </a:prstGeom>
          <a:noFill/>
          <a:ln w="9525" cap="flat" cmpd="sng" algn="ctr">
            <a:solidFill>
              <a:sysClr val="windowText" lastClr="000000"/>
            </a:solidFill>
            <a:prstDash val="solid"/>
            <a:headEnd type="arrow"/>
            <a:tailEnd type="arrow"/>
          </a:ln>
          <a:effectLst/>
        </xdr:spPr>
      </xdr:cxnSp>
      <xdr:sp macro="" textlink="">
        <xdr:nvSpPr>
          <xdr:cNvPr id="316" name="TextBox 21"/>
          <xdr:cNvSpPr txBox="1"/>
        </xdr:nvSpPr>
        <xdr:spPr>
          <a:xfrm>
            <a:off x="19646265" y="2638425"/>
            <a:ext cx="346031" cy="285750"/>
          </a:xfrm>
          <a:prstGeom prst="rect">
            <a:avLst/>
          </a:prstGeom>
          <a:noFill/>
        </xdr:spPr>
        <xdr:txBody>
          <a:bodyPr wrap="square" rtlCol="0">
            <a:noAutofit/>
          </a:bodyPr>
          <a:lstStyle>
            <a:defPPr>
              <a:defRPr lang="zh-CN"/>
            </a:defPPr>
            <a:lvl1pPr marL="0" algn="l" defTabSz="609585" rtl="0" eaLnBrk="1" latinLnBrk="0" hangingPunct="1">
              <a:defRPr sz="2400" kern="1200">
                <a:solidFill>
                  <a:schemeClr val="tx1"/>
                </a:solidFill>
                <a:latin typeface="+mn-lt"/>
                <a:ea typeface="+mn-ea"/>
                <a:cs typeface="+mn-cs"/>
              </a:defRPr>
            </a:lvl1pPr>
            <a:lvl2pPr marL="609585" algn="l" defTabSz="609585" rtl="0" eaLnBrk="1" latinLnBrk="0" hangingPunct="1">
              <a:defRPr sz="2400" kern="1200">
                <a:solidFill>
                  <a:schemeClr val="tx1"/>
                </a:solidFill>
                <a:latin typeface="+mn-lt"/>
                <a:ea typeface="+mn-ea"/>
                <a:cs typeface="+mn-cs"/>
              </a:defRPr>
            </a:lvl2pPr>
            <a:lvl3pPr marL="1219170" algn="l" defTabSz="609585" rtl="0" eaLnBrk="1" latinLnBrk="0" hangingPunct="1">
              <a:defRPr sz="2400" kern="1200">
                <a:solidFill>
                  <a:schemeClr val="tx1"/>
                </a:solidFill>
                <a:latin typeface="+mn-lt"/>
                <a:ea typeface="+mn-ea"/>
                <a:cs typeface="+mn-cs"/>
              </a:defRPr>
            </a:lvl3pPr>
            <a:lvl4pPr marL="1828754" algn="l" defTabSz="609585" rtl="0" eaLnBrk="1" latinLnBrk="0" hangingPunct="1">
              <a:defRPr sz="2400" kern="1200">
                <a:solidFill>
                  <a:schemeClr val="tx1"/>
                </a:solidFill>
                <a:latin typeface="+mn-lt"/>
                <a:ea typeface="+mn-ea"/>
                <a:cs typeface="+mn-cs"/>
              </a:defRPr>
            </a:lvl4pPr>
            <a:lvl5pPr marL="2438339" algn="l" defTabSz="609585" rtl="0" eaLnBrk="1" latinLnBrk="0" hangingPunct="1">
              <a:defRPr sz="2400" kern="1200">
                <a:solidFill>
                  <a:schemeClr val="tx1"/>
                </a:solidFill>
                <a:latin typeface="+mn-lt"/>
                <a:ea typeface="+mn-ea"/>
                <a:cs typeface="+mn-cs"/>
              </a:defRPr>
            </a:lvl5pPr>
            <a:lvl6pPr marL="3047924" algn="l" defTabSz="609585" rtl="0" eaLnBrk="1" latinLnBrk="0" hangingPunct="1">
              <a:defRPr sz="2400" kern="1200">
                <a:solidFill>
                  <a:schemeClr val="tx1"/>
                </a:solidFill>
                <a:latin typeface="+mn-lt"/>
                <a:ea typeface="+mn-ea"/>
                <a:cs typeface="+mn-cs"/>
              </a:defRPr>
            </a:lvl6pPr>
            <a:lvl7pPr marL="3657509" algn="l" defTabSz="609585" rtl="0" eaLnBrk="1" latinLnBrk="0" hangingPunct="1">
              <a:defRPr sz="2400" kern="1200">
                <a:solidFill>
                  <a:schemeClr val="tx1"/>
                </a:solidFill>
                <a:latin typeface="+mn-lt"/>
                <a:ea typeface="+mn-ea"/>
                <a:cs typeface="+mn-cs"/>
              </a:defRPr>
            </a:lvl7pPr>
            <a:lvl8pPr marL="4267093" algn="l" defTabSz="609585" rtl="0" eaLnBrk="1" latinLnBrk="0" hangingPunct="1">
              <a:defRPr sz="2400" kern="1200">
                <a:solidFill>
                  <a:schemeClr val="tx1"/>
                </a:solidFill>
                <a:latin typeface="+mn-lt"/>
                <a:ea typeface="+mn-ea"/>
                <a:cs typeface="+mn-cs"/>
              </a:defRPr>
            </a:lvl8pPr>
            <a:lvl9pPr marL="4876678" algn="l" defTabSz="609585" rtl="0" eaLnBrk="1" latinLnBrk="0" hangingPunct="1">
              <a:defRPr sz="2400" kern="1200">
                <a:solidFill>
                  <a:schemeClr val="tx1"/>
                </a:solidFill>
                <a:latin typeface="+mn-lt"/>
                <a:ea typeface="+mn-ea"/>
                <a:cs typeface="+mn-cs"/>
              </a:defRPr>
            </a:lvl9pPr>
          </a:lstStyle>
          <a:p>
            <a:pPr marL="0" marR="0" lvl="0" indent="0" algn="l" defTabSz="609585" rtl="0" eaLnBrk="1" fontAlgn="auto" latinLnBrk="0" hangingPunct="1">
              <a:lnSpc>
                <a:spcPct val="100000"/>
              </a:lnSpc>
              <a:spcBef>
                <a:spcPts val="0"/>
              </a:spcBef>
              <a:spcAft>
                <a:spcPts val="0"/>
              </a:spcAft>
              <a:buClrTx/>
              <a:buSzTx/>
              <a:buFontTx/>
              <a:buNone/>
              <a:tabLst/>
              <a:defRPr/>
            </a:pPr>
            <a:r>
              <a:rPr kumimoji="0" lang="en-US" altLang="zh-CN" sz="1100" b="0" i="0" u="none" strike="noStrike" kern="1200" cap="none" spc="0" normalizeH="0" baseline="0" noProof="0">
                <a:ln>
                  <a:noFill/>
                </a:ln>
                <a:solidFill>
                  <a:sysClr val="windowText" lastClr="000000"/>
                </a:solidFill>
                <a:effectLst/>
                <a:uLnTx/>
                <a:uFillTx/>
                <a:latin typeface="Calibri"/>
                <a:ea typeface="宋体"/>
                <a:cs typeface="+mn-cs"/>
              </a:rPr>
              <a:t>La</a:t>
            </a:r>
          </a:p>
        </xdr:txBody>
      </xdr:sp>
      <xdr:cxnSp macro="">
        <xdr:nvCxnSpPr>
          <xdr:cNvPr id="317" name="直接箭头连接符 316"/>
          <xdr:cNvCxnSpPr/>
        </xdr:nvCxnSpPr>
        <xdr:spPr>
          <a:xfrm>
            <a:off x="19646265" y="2947035"/>
            <a:ext cx="807720" cy="0"/>
          </a:xfrm>
          <a:prstGeom prst="straightConnector1">
            <a:avLst/>
          </a:prstGeom>
          <a:noFill/>
          <a:ln w="9525" cap="flat" cmpd="sng" algn="ctr">
            <a:solidFill>
              <a:sysClr val="windowText" lastClr="000000"/>
            </a:solidFill>
            <a:prstDash val="solid"/>
            <a:headEnd type="arrow"/>
            <a:tailEnd type="arrow"/>
          </a:ln>
          <a:effectLst/>
        </xdr:spPr>
      </xdr:cxnSp>
      <xdr:sp macro="" textlink="">
        <xdr:nvSpPr>
          <xdr:cNvPr id="318" name="TextBox 20"/>
          <xdr:cNvSpPr txBox="1"/>
        </xdr:nvSpPr>
        <xdr:spPr>
          <a:xfrm>
            <a:off x="19507200" y="2947035"/>
            <a:ext cx="1040660" cy="284892"/>
          </a:xfrm>
          <a:prstGeom prst="rect">
            <a:avLst/>
          </a:prstGeom>
          <a:noFill/>
        </xdr:spPr>
        <xdr:txBody>
          <a:bodyPr wrap="square" rtlCol="0">
            <a:noAutofit/>
          </a:bodyPr>
          <a:lstStyle>
            <a:defPPr>
              <a:defRPr lang="zh-CN"/>
            </a:defPPr>
            <a:lvl1pPr marL="0" algn="l" defTabSz="609585" rtl="0" eaLnBrk="1" latinLnBrk="0" hangingPunct="1">
              <a:defRPr sz="2400" kern="1200">
                <a:solidFill>
                  <a:schemeClr val="tx1"/>
                </a:solidFill>
                <a:latin typeface="+mn-lt"/>
                <a:ea typeface="+mn-ea"/>
                <a:cs typeface="+mn-cs"/>
              </a:defRPr>
            </a:lvl1pPr>
            <a:lvl2pPr marL="609585" algn="l" defTabSz="609585" rtl="0" eaLnBrk="1" latinLnBrk="0" hangingPunct="1">
              <a:defRPr sz="2400" kern="1200">
                <a:solidFill>
                  <a:schemeClr val="tx1"/>
                </a:solidFill>
                <a:latin typeface="+mn-lt"/>
                <a:ea typeface="+mn-ea"/>
                <a:cs typeface="+mn-cs"/>
              </a:defRPr>
            </a:lvl2pPr>
            <a:lvl3pPr marL="1219170" algn="l" defTabSz="609585" rtl="0" eaLnBrk="1" latinLnBrk="0" hangingPunct="1">
              <a:defRPr sz="2400" kern="1200">
                <a:solidFill>
                  <a:schemeClr val="tx1"/>
                </a:solidFill>
                <a:latin typeface="+mn-lt"/>
                <a:ea typeface="+mn-ea"/>
                <a:cs typeface="+mn-cs"/>
              </a:defRPr>
            </a:lvl3pPr>
            <a:lvl4pPr marL="1828754" algn="l" defTabSz="609585" rtl="0" eaLnBrk="1" latinLnBrk="0" hangingPunct="1">
              <a:defRPr sz="2400" kern="1200">
                <a:solidFill>
                  <a:schemeClr val="tx1"/>
                </a:solidFill>
                <a:latin typeface="+mn-lt"/>
                <a:ea typeface="+mn-ea"/>
                <a:cs typeface="+mn-cs"/>
              </a:defRPr>
            </a:lvl4pPr>
            <a:lvl5pPr marL="2438339" algn="l" defTabSz="609585" rtl="0" eaLnBrk="1" latinLnBrk="0" hangingPunct="1">
              <a:defRPr sz="2400" kern="1200">
                <a:solidFill>
                  <a:schemeClr val="tx1"/>
                </a:solidFill>
                <a:latin typeface="+mn-lt"/>
                <a:ea typeface="+mn-ea"/>
                <a:cs typeface="+mn-cs"/>
              </a:defRPr>
            </a:lvl5pPr>
            <a:lvl6pPr marL="3047924" algn="l" defTabSz="609585" rtl="0" eaLnBrk="1" latinLnBrk="0" hangingPunct="1">
              <a:defRPr sz="2400" kern="1200">
                <a:solidFill>
                  <a:schemeClr val="tx1"/>
                </a:solidFill>
                <a:latin typeface="+mn-lt"/>
                <a:ea typeface="+mn-ea"/>
                <a:cs typeface="+mn-cs"/>
              </a:defRPr>
            </a:lvl6pPr>
            <a:lvl7pPr marL="3657509" algn="l" defTabSz="609585" rtl="0" eaLnBrk="1" latinLnBrk="0" hangingPunct="1">
              <a:defRPr sz="2400" kern="1200">
                <a:solidFill>
                  <a:schemeClr val="tx1"/>
                </a:solidFill>
                <a:latin typeface="+mn-lt"/>
                <a:ea typeface="+mn-ea"/>
                <a:cs typeface="+mn-cs"/>
              </a:defRPr>
            </a:lvl7pPr>
            <a:lvl8pPr marL="4267093" algn="l" defTabSz="609585" rtl="0" eaLnBrk="1" latinLnBrk="0" hangingPunct="1">
              <a:defRPr sz="2400" kern="1200">
                <a:solidFill>
                  <a:schemeClr val="tx1"/>
                </a:solidFill>
                <a:latin typeface="+mn-lt"/>
                <a:ea typeface="+mn-ea"/>
                <a:cs typeface="+mn-cs"/>
              </a:defRPr>
            </a:lvl8pPr>
            <a:lvl9pPr marL="4876678" algn="l" defTabSz="609585" rtl="0" eaLnBrk="1" latinLnBrk="0" hangingPunct="1">
              <a:defRPr sz="2400" kern="1200">
                <a:solidFill>
                  <a:schemeClr val="tx1"/>
                </a:solidFill>
                <a:latin typeface="+mn-lt"/>
                <a:ea typeface="+mn-ea"/>
                <a:cs typeface="+mn-cs"/>
              </a:defRPr>
            </a:lvl9pPr>
          </a:lstStyle>
          <a:p>
            <a:pPr marL="0" marR="0" lvl="0" indent="0" algn="ctr" defTabSz="609585" rtl="0" eaLnBrk="1" fontAlgn="auto" latinLnBrk="0" hangingPunct="1">
              <a:lnSpc>
                <a:spcPct val="100000"/>
              </a:lnSpc>
              <a:spcBef>
                <a:spcPts val="0"/>
              </a:spcBef>
              <a:spcAft>
                <a:spcPts val="0"/>
              </a:spcAft>
              <a:buClrTx/>
              <a:buSzTx/>
              <a:buFontTx/>
              <a:buNone/>
              <a:tabLst/>
              <a:defRPr/>
            </a:pPr>
            <a:r>
              <a:rPr kumimoji="0" lang="en-US" altLang="zh-CN" sz="1000" b="0" i="0" u="none" strike="noStrike" kern="1200" cap="none" spc="0" normalizeH="0" baseline="0" noProof="0">
                <a:ln>
                  <a:noFill/>
                </a:ln>
                <a:solidFill>
                  <a:sysClr val="windowText" lastClr="000000"/>
                </a:solidFill>
                <a:effectLst/>
                <a:uLnTx/>
                <a:uFillTx/>
                <a:latin typeface="Calibri"/>
                <a:ea typeface="宋体"/>
                <a:cs typeface="+mn-cs"/>
              </a:rPr>
              <a:t>Lb</a:t>
            </a:r>
            <a:endParaRPr kumimoji="0" lang="zh-CN" altLang="en-US" sz="1000" b="0" i="0" u="none" strike="noStrike" kern="1200" cap="none" spc="0" normalizeH="0" baseline="0" noProof="0">
              <a:ln>
                <a:noFill/>
              </a:ln>
              <a:solidFill>
                <a:sysClr val="windowText" lastClr="000000"/>
              </a:solidFill>
              <a:effectLst/>
              <a:uLnTx/>
              <a:uFillTx/>
              <a:latin typeface="Calibri"/>
              <a:ea typeface="宋体"/>
              <a:cs typeface="+mn-cs"/>
            </a:endParaRPr>
          </a:p>
        </xdr:txBody>
      </xdr:sp>
    </xdr:grpSp>
    <xdr:clientData/>
  </xdr:twoCellAnchor>
</xdr:wsDr>
</file>

<file path=xl/drawings/drawing5.xml><?xml version="1.0" encoding="utf-8"?>
<xdr:wsDr xmlns:xdr="http://schemas.openxmlformats.org/drawingml/2006/spreadsheetDrawing" xmlns:a="http://schemas.openxmlformats.org/drawingml/2006/main">
  <xdr:twoCellAnchor>
    <xdr:from>
      <xdr:col>5</xdr:col>
      <xdr:colOff>800100</xdr:colOff>
      <xdr:row>7</xdr:row>
      <xdr:rowOff>38100</xdr:rowOff>
    </xdr:from>
    <xdr:to>
      <xdr:col>7</xdr:col>
      <xdr:colOff>219075</xdr:colOff>
      <xdr:row>13</xdr:row>
      <xdr:rowOff>152400</xdr:rowOff>
    </xdr:to>
    <xdr:sp macro="" textlink="">
      <xdr:nvSpPr>
        <xdr:cNvPr id="232" name="Rectangle 144"/>
        <xdr:cNvSpPr>
          <a:spLocks noChangeArrowheads="1"/>
        </xdr:cNvSpPr>
      </xdr:nvSpPr>
      <xdr:spPr bwMode="auto">
        <a:xfrm>
          <a:off x="4286250" y="5876925"/>
          <a:ext cx="1143000" cy="1314450"/>
        </a:xfrm>
        <a:prstGeom prst="trapezoid">
          <a:avLst>
            <a:gd name="adj" fmla="val 10586"/>
          </a:avLst>
        </a:prstGeom>
        <a:solidFill>
          <a:srgbClr val="4BACC6">
            <a:lumMod val="60000"/>
            <a:lumOff val="40000"/>
            <a:alpha val="70195"/>
          </a:srgbClr>
        </a:solidFill>
        <a:ln w="15875">
          <a:solidFill>
            <a:srgbClr xmlns:mc="http://schemas.openxmlformats.org/markup-compatibility/2006" xmlns:a14="http://schemas.microsoft.com/office/drawing/2010/main" val="00CCFF" mc:Ignorable="a14" a14:legacySpreadsheetColorIndex="40"/>
          </a:solidFill>
          <a:miter lim="800000"/>
          <a:headEnd/>
          <a:tailEnd/>
        </a:ln>
      </xdr:spPr>
    </xdr:sp>
    <xdr:clientData/>
  </xdr:twoCellAnchor>
  <xdr:twoCellAnchor>
    <xdr:from>
      <xdr:col>3</xdr:col>
      <xdr:colOff>228600</xdr:colOff>
      <xdr:row>7</xdr:row>
      <xdr:rowOff>28575</xdr:rowOff>
    </xdr:from>
    <xdr:to>
      <xdr:col>4</xdr:col>
      <xdr:colOff>506067</xdr:colOff>
      <xdr:row>13</xdr:row>
      <xdr:rowOff>142875</xdr:rowOff>
    </xdr:to>
    <xdr:grpSp>
      <xdr:nvGrpSpPr>
        <xdr:cNvPr id="207" name="组合 206"/>
        <xdr:cNvGrpSpPr/>
      </xdr:nvGrpSpPr>
      <xdr:grpSpPr>
        <a:xfrm>
          <a:off x="1933575" y="1514475"/>
          <a:ext cx="1058517" cy="1314450"/>
          <a:chOff x="1866460" y="7249717"/>
          <a:chExt cx="1061879" cy="1324536"/>
        </a:xfrm>
      </xdr:grpSpPr>
      <xdr:sp macro="" textlink="">
        <xdr:nvSpPr>
          <xdr:cNvPr id="220" name="Rectangle 144"/>
          <xdr:cNvSpPr>
            <a:spLocks noChangeArrowheads="1"/>
          </xdr:cNvSpPr>
        </xdr:nvSpPr>
        <xdr:spPr bwMode="auto">
          <a:xfrm>
            <a:off x="1866460" y="7249717"/>
            <a:ext cx="1061879" cy="1324536"/>
          </a:xfrm>
          <a:prstGeom prst="trapezoid">
            <a:avLst>
              <a:gd name="adj" fmla="val 8600"/>
            </a:avLst>
          </a:prstGeom>
          <a:solidFill>
            <a:srgbClr val="F79646">
              <a:lumMod val="75000"/>
              <a:alpha val="70195"/>
            </a:srgbClr>
          </a:solidFill>
          <a:ln w="15875">
            <a:solidFill>
              <a:srgbClr val="F79646">
                <a:lumMod val="75000"/>
              </a:srgbClr>
            </a:solidFill>
            <a:miter lim="800000"/>
            <a:headEnd/>
            <a:tailEnd/>
          </a:ln>
        </xdr:spPr>
      </xdr:sp>
      <xdr:sp macro="" textlink="">
        <xdr:nvSpPr>
          <xdr:cNvPr id="228" name="Rectangle 144"/>
          <xdr:cNvSpPr>
            <a:spLocks noChangeArrowheads="1"/>
          </xdr:cNvSpPr>
        </xdr:nvSpPr>
        <xdr:spPr bwMode="auto">
          <a:xfrm>
            <a:off x="1883080" y="8065553"/>
            <a:ext cx="1028686" cy="97207"/>
          </a:xfrm>
          <a:prstGeom prst="trapezoid">
            <a:avLst>
              <a:gd name="adj" fmla="val 10672"/>
            </a:avLst>
          </a:prstGeom>
          <a:solidFill>
            <a:sysClr val="windowText" lastClr="000000">
              <a:alpha val="70195"/>
            </a:sysClr>
          </a:solidFill>
          <a:ln w="15875">
            <a:noFill/>
            <a:miter lim="800000"/>
            <a:headEnd/>
            <a:tailEnd/>
          </a:ln>
        </xdr:spPr>
      </xdr:sp>
    </xdr:grpSp>
    <xdr:clientData/>
  </xdr:twoCellAnchor>
  <xdr:twoCellAnchor>
    <xdr:from>
      <xdr:col>1</xdr:col>
      <xdr:colOff>0</xdr:colOff>
      <xdr:row>36</xdr:row>
      <xdr:rowOff>28575</xdr:rowOff>
    </xdr:from>
    <xdr:to>
      <xdr:col>9</xdr:col>
      <xdr:colOff>314325</xdr:colOff>
      <xdr:row>43</xdr:row>
      <xdr:rowOff>38100</xdr:rowOff>
    </xdr:to>
    <xdr:sp macro="" textlink="">
      <xdr:nvSpPr>
        <xdr:cNvPr id="2" name="Rectangle 374"/>
        <xdr:cNvSpPr>
          <a:spLocks noChangeArrowheads="1"/>
        </xdr:cNvSpPr>
      </xdr:nvSpPr>
      <xdr:spPr bwMode="auto">
        <a:xfrm>
          <a:off x="238125" y="7620000"/>
          <a:ext cx="6715125" cy="1409700"/>
        </a:xfrm>
        <a:prstGeom prst="rect">
          <a:avLst/>
        </a:prstGeom>
        <a:solidFill>
          <a:srgbClr xmlns:mc="http://schemas.openxmlformats.org/markup-compatibility/2006" xmlns:a14="http://schemas.microsoft.com/office/drawing/2010/main" val="C0C0C0" mc:Ignorable="a14" a14:legacySpreadsheetColorIndex="22"/>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0</xdr:col>
      <xdr:colOff>238124</xdr:colOff>
      <xdr:row>43</xdr:row>
      <xdr:rowOff>38100</xdr:rowOff>
    </xdr:from>
    <xdr:to>
      <xdr:col>9</xdr:col>
      <xdr:colOff>314325</xdr:colOff>
      <xdr:row>45</xdr:row>
      <xdr:rowOff>85725</xdr:rowOff>
    </xdr:to>
    <xdr:sp macro="" textlink="">
      <xdr:nvSpPr>
        <xdr:cNvPr id="3" name="Rectangle 375"/>
        <xdr:cNvSpPr>
          <a:spLocks noChangeArrowheads="1"/>
        </xdr:cNvSpPr>
      </xdr:nvSpPr>
      <xdr:spPr bwMode="auto">
        <a:xfrm>
          <a:off x="238124" y="9467850"/>
          <a:ext cx="7200901" cy="409575"/>
        </a:xfrm>
        <a:prstGeom prst="rect">
          <a:avLst/>
        </a:prstGeom>
        <a:solidFill>
          <a:srgbClr xmlns:mc="http://schemas.openxmlformats.org/markup-compatibility/2006" xmlns:a14="http://schemas.microsoft.com/office/drawing/2010/main" val="FF9900" mc:Ignorable="a14" a14:legacySpreadsheetColorIndex="52"/>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1</xdr:col>
      <xdr:colOff>0</xdr:colOff>
      <xdr:row>34</xdr:row>
      <xdr:rowOff>0</xdr:rowOff>
    </xdr:from>
    <xdr:to>
      <xdr:col>9</xdr:col>
      <xdr:colOff>314325</xdr:colOff>
      <xdr:row>36</xdr:row>
      <xdr:rowOff>28575</xdr:rowOff>
    </xdr:to>
    <xdr:sp macro="" textlink="">
      <xdr:nvSpPr>
        <xdr:cNvPr id="4" name="Rectangle 376"/>
        <xdr:cNvSpPr>
          <a:spLocks noChangeArrowheads="1"/>
        </xdr:cNvSpPr>
      </xdr:nvSpPr>
      <xdr:spPr bwMode="auto">
        <a:xfrm>
          <a:off x="238125" y="7800975"/>
          <a:ext cx="7200900" cy="390525"/>
        </a:xfrm>
        <a:prstGeom prst="rect">
          <a:avLst/>
        </a:prstGeom>
        <a:solidFill>
          <a:srgbClr xmlns:mc="http://schemas.openxmlformats.org/markup-compatibility/2006" xmlns:a14="http://schemas.microsoft.com/office/drawing/2010/main" val="FF9900" mc:Ignorable="a14" a14:legacySpreadsheetColorIndex="52"/>
        </a:solidFill>
        <a:ln w="9525">
          <a:solidFill>
            <a:srgbClr xmlns:mc="http://schemas.openxmlformats.org/markup-compatibility/2006" xmlns:a14="http://schemas.microsoft.com/office/drawing/2010/main" val="000000" mc:Ignorable="a14" a14:legacySpreadsheetColorIndex="64"/>
          </a:solidFill>
          <a:miter lim="800000"/>
          <a:headEnd/>
          <a:tailEnd/>
        </a:ln>
      </xdr:spPr>
    </xdr:sp>
    <xdr:clientData/>
  </xdr:twoCellAnchor>
  <xdr:twoCellAnchor>
    <xdr:from>
      <xdr:col>9</xdr:col>
      <xdr:colOff>314325</xdr:colOff>
      <xdr:row>36</xdr:row>
      <xdr:rowOff>28575</xdr:rowOff>
    </xdr:from>
    <xdr:to>
      <xdr:col>9</xdr:col>
      <xdr:colOff>495300</xdr:colOff>
      <xdr:row>36</xdr:row>
      <xdr:rowOff>28575</xdr:rowOff>
    </xdr:to>
    <xdr:sp macro="" textlink="">
      <xdr:nvSpPr>
        <xdr:cNvPr id="5" name="Line 377"/>
        <xdr:cNvSpPr>
          <a:spLocks noChangeShapeType="1"/>
        </xdr:cNvSpPr>
      </xdr:nvSpPr>
      <xdr:spPr bwMode="auto">
        <a:xfrm>
          <a:off x="7439025" y="8191500"/>
          <a:ext cx="1809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314325</xdr:colOff>
      <xdr:row>43</xdr:row>
      <xdr:rowOff>38100</xdr:rowOff>
    </xdr:from>
    <xdr:to>
      <xdr:col>9</xdr:col>
      <xdr:colOff>495300</xdr:colOff>
      <xdr:row>43</xdr:row>
      <xdr:rowOff>38100</xdr:rowOff>
    </xdr:to>
    <xdr:sp macro="" textlink="">
      <xdr:nvSpPr>
        <xdr:cNvPr id="6" name="Line 378"/>
        <xdr:cNvSpPr>
          <a:spLocks noChangeShapeType="1"/>
        </xdr:cNvSpPr>
      </xdr:nvSpPr>
      <xdr:spPr bwMode="auto">
        <a:xfrm>
          <a:off x="7439025" y="9467850"/>
          <a:ext cx="1809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304800</xdr:colOff>
      <xdr:row>34</xdr:row>
      <xdr:rowOff>0</xdr:rowOff>
    </xdr:from>
    <xdr:to>
      <xdr:col>9</xdr:col>
      <xdr:colOff>495300</xdr:colOff>
      <xdr:row>34</xdr:row>
      <xdr:rowOff>0</xdr:rowOff>
    </xdr:to>
    <xdr:sp macro="" textlink="">
      <xdr:nvSpPr>
        <xdr:cNvPr id="7" name="Line 379"/>
        <xdr:cNvSpPr>
          <a:spLocks noChangeShapeType="1"/>
        </xdr:cNvSpPr>
      </xdr:nvSpPr>
      <xdr:spPr bwMode="auto">
        <a:xfrm>
          <a:off x="7429500" y="7800975"/>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314325</xdr:colOff>
      <xdr:row>45</xdr:row>
      <xdr:rowOff>85725</xdr:rowOff>
    </xdr:from>
    <xdr:to>
      <xdr:col>9</xdr:col>
      <xdr:colOff>495300</xdr:colOff>
      <xdr:row>45</xdr:row>
      <xdr:rowOff>85725</xdr:rowOff>
    </xdr:to>
    <xdr:sp macro="" textlink="">
      <xdr:nvSpPr>
        <xdr:cNvPr id="8" name="Line 380"/>
        <xdr:cNvSpPr>
          <a:spLocks noChangeShapeType="1"/>
        </xdr:cNvSpPr>
      </xdr:nvSpPr>
      <xdr:spPr bwMode="auto">
        <a:xfrm>
          <a:off x="7439025" y="9877425"/>
          <a:ext cx="1809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466725</xdr:colOff>
      <xdr:row>36</xdr:row>
      <xdr:rowOff>38100</xdr:rowOff>
    </xdr:from>
    <xdr:to>
      <xdr:col>9</xdr:col>
      <xdr:colOff>466725</xdr:colOff>
      <xdr:row>43</xdr:row>
      <xdr:rowOff>19050</xdr:rowOff>
    </xdr:to>
    <xdr:sp macro="" textlink="">
      <xdr:nvSpPr>
        <xdr:cNvPr id="9" name="Line 381"/>
        <xdr:cNvSpPr>
          <a:spLocks noChangeShapeType="1"/>
        </xdr:cNvSpPr>
      </xdr:nvSpPr>
      <xdr:spPr bwMode="auto">
        <a:xfrm>
          <a:off x="7591425" y="8201025"/>
          <a:ext cx="0" cy="1247775"/>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466725</xdr:colOff>
      <xdr:row>34</xdr:row>
      <xdr:rowOff>9525</xdr:rowOff>
    </xdr:from>
    <xdr:to>
      <xdr:col>9</xdr:col>
      <xdr:colOff>466725</xdr:colOff>
      <xdr:row>36</xdr:row>
      <xdr:rowOff>9525</xdr:rowOff>
    </xdr:to>
    <xdr:sp macro="" textlink="">
      <xdr:nvSpPr>
        <xdr:cNvPr id="10" name="Line 382"/>
        <xdr:cNvSpPr>
          <a:spLocks noChangeShapeType="1"/>
        </xdr:cNvSpPr>
      </xdr:nvSpPr>
      <xdr:spPr bwMode="auto">
        <a:xfrm>
          <a:off x="7591425" y="7810500"/>
          <a:ext cx="0" cy="3619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466725</xdr:colOff>
      <xdr:row>43</xdr:row>
      <xdr:rowOff>47625</xdr:rowOff>
    </xdr:from>
    <xdr:to>
      <xdr:col>9</xdr:col>
      <xdr:colOff>466725</xdr:colOff>
      <xdr:row>45</xdr:row>
      <xdr:rowOff>76200</xdr:rowOff>
    </xdr:to>
    <xdr:sp macro="" textlink="">
      <xdr:nvSpPr>
        <xdr:cNvPr id="11" name="Line 383"/>
        <xdr:cNvSpPr>
          <a:spLocks noChangeShapeType="1"/>
        </xdr:cNvSpPr>
      </xdr:nvSpPr>
      <xdr:spPr bwMode="auto">
        <a:xfrm>
          <a:off x="7591425" y="9477375"/>
          <a:ext cx="0" cy="3905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oneCellAnchor>
    <xdr:from>
      <xdr:col>9</xdr:col>
      <xdr:colOff>495300</xdr:colOff>
      <xdr:row>34</xdr:row>
      <xdr:rowOff>57150</xdr:rowOff>
    </xdr:from>
    <xdr:ext cx="161070" cy="170560"/>
    <xdr:sp macro="" textlink="">
      <xdr:nvSpPr>
        <xdr:cNvPr id="12" name="Text Box 384"/>
        <xdr:cNvSpPr txBox="1">
          <a:spLocks noChangeArrowheads="1"/>
        </xdr:cNvSpPr>
      </xdr:nvSpPr>
      <xdr:spPr bwMode="auto">
        <a:xfrm>
          <a:off x="7620000" y="7858125"/>
          <a:ext cx="161070"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L1</a:t>
          </a:r>
        </a:p>
      </xdr:txBody>
    </xdr:sp>
    <xdr:clientData/>
  </xdr:oneCellAnchor>
  <xdr:oneCellAnchor>
    <xdr:from>
      <xdr:col>9</xdr:col>
      <xdr:colOff>495300</xdr:colOff>
      <xdr:row>44</xdr:row>
      <xdr:rowOff>0</xdr:rowOff>
    </xdr:from>
    <xdr:ext cx="161070" cy="170560"/>
    <xdr:sp macro="" textlink="">
      <xdr:nvSpPr>
        <xdr:cNvPr id="13" name="Text Box 385"/>
        <xdr:cNvSpPr txBox="1">
          <a:spLocks noChangeArrowheads="1"/>
        </xdr:cNvSpPr>
      </xdr:nvSpPr>
      <xdr:spPr bwMode="auto">
        <a:xfrm>
          <a:off x="7620000" y="9610725"/>
          <a:ext cx="161070"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L2</a:t>
          </a:r>
        </a:p>
      </xdr:txBody>
    </xdr:sp>
    <xdr:clientData/>
  </xdr:oneCellAnchor>
  <xdr:oneCellAnchor>
    <xdr:from>
      <xdr:col>10</xdr:col>
      <xdr:colOff>426720</xdr:colOff>
      <xdr:row>39</xdr:row>
      <xdr:rowOff>5715</xdr:rowOff>
    </xdr:from>
    <xdr:ext cx="563616" cy="170560"/>
    <xdr:sp macro="" textlink="">
      <xdr:nvSpPr>
        <xdr:cNvPr id="14" name="Text Box 386"/>
        <xdr:cNvSpPr txBox="1">
          <a:spLocks noChangeArrowheads="1"/>
        </xdr:cNvSpPr>
      </xdr:nvSpPr>
      <xdr:spPr bwMode="auto">
        <a:xfrm>
          <a:off x="7025640" y="8060055"/>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11</xdr:col>
      <xdr:colOff>466725</xdr:colOff>
      <xdr:row>39</xdr:row>
      <xdr:rowOff>3810</xdr:rowOff>
    </xdr:from>
    <xdr:ext cx="875368" cy="170560"/>
    <xdr:sp macro="" textlink="">
      <xdr:nvSpPr>
        <xdr:cNvPr id="15" name="Text Box 385"/>
        <xdr:cNvSpPr txBox="1">
          <a:spLocks noChangeArrowheads="1"/>
        </xdr:cNvSpPr>
      </xdr:nvSpPr>
      <xdr:spPr bwMode="auto">
        <a:xfrm>
          <a:off x="7682865" y="8058150"/>
          <a:ext cx="875368"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|L1-L2|≤0.5mm</a:t>
          </a:r>
        </a:p>
      </xdr:txBody>
    </xdr:sp>
    <xdr:clientData/>
  </xdr:oneCellAnchor>
  <xdr:oneCellAnchor>
    <xdr:from>
      <xdr:col>10</xdr:col>
      <xdr:colOff>466725</xdr:colOff>
      <xdr:row>35</xdr:row>
      <xdr:rowOff>28575</xdr:rowOff>
    </xdr:from>
    <xdr:ext cx="563616" cy="170560"/>
    <xdr:sp macro="" textlink="">
      <xdr:nvSpPr>
        <xdr:cNvPr id="16" name="Text Box 386"/>
        <xdr:cNvSpPr txBox="1">
          <a:spLocks noChangeArrowheads="1"/>
        </xdr:cNvSpPr>
      </xdr:nvSpPr>
      <xdr:spPr bwMode="auto">
        <a:xfrm>
          <a:off x="7820025" y="1202055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504825</xdr:colOff>
      <xdr:row>44</xdr:row>
      <xdr:rowOff>19050</xdr:rowOff>
    </xdr:from>
    <xdr:ext cx="563616" cy="170560"/>
    <xdr:sp macro="" textlink="">
      <xdr:nvSpPr>
        <xdr:cNvPr id="17" name="Text Box 386"/>
        <xdr:cNvSpPr txBox="1">
          <a:spLocks noChangeArrowheads="1"/>
        </xdr:cNvSpPr>
      </xdr:nvSpPr>
      <xdr:spPr bwMode="auto">
        <a:xfrm>
          <a:off x="7858125" y="1381125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twoCellAnchor>
    <xdr:from>
      <xdr:col>9</xdr:col>
      <xdr:colOff>371475</xdr:colOff>
      <xdr:row>56</xdr:row>
      <xdr:rowOff>114301</xdr:rowOff>
    </xdr:from>
    <xdr:to>
      <xdr:col>9</xdr:col>
      <xdr:colOff>371475</xdr:colOff>
      <xdr:row>63</xdr:row>
      <xdr:rowOff>0</xdr:rowOff>
    </xdr:to>
    <xdr:sp macro="" textlink="">
      <xdr:nvSpPr>
        <xdr:cNvPr id="22" name="Line 381"/>
        <xdr:cNvSpPr>
          <a:spLocks noChangeShapeType="1"/>
        </xdr:cNvSpPr>
      </xdr:nvSpPr>
      <xdr:spPr bwMode="auto">
        <a:xfrm>
          <a:off x="7010400" y="9458326"/>
          <a:ext cx="0" cy="1162049"/>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oneCellAnchor>
    <xdr:from>
      <xdr:col>10</xdr:col>
      <xdr:colOff>371475</xdr:colOff>
      <xdr:row>59</xdr:row>
      <xdr:rowOff>9525</xdr:rowOff>
    </xdr:from>
    <xdr:ext cx="563616" cy="170560"/>
    <xdr:sp macro="" textlink="">
      <xdr:nvSpPr>
        <xdr:cNvPr id="25" name="Text Box 386"/>
        <xdr:cNvSpPr txBox="1">
          <a:spLocks noChangeArrowheads="1"/>
        </xdr:cNvSpPr>
      </xdr:nvSpPr>
      <xdr:spPr bwMode="auto">
        <a:xfrm>
          <a:off x="7724775" y="12201525"/>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314325</xdr:colOff>
      <xdr:row>55</xdr:row>
      <xdr:rowOff>9525</xdr:rowOff>
    </xdr:from>
    <xdr:ext cx="563616" cy="170560"/>
    <xdr:sp macro="" textlink="">
      <xdr:nvSpPr>
        <xdr:cNvPr id="26" name="Text Box 386"/>
        <xdr:cNvSpPr txBox="1">
          <a:spLocks noChangeArrowheads="1"/>
        </xdr:cNvSpPr>
      </xdr:nvSpPr>
      <xdr:spPr bwMode="auto">
        <a:xfrm>
          <a:off x="7667625" y="1440180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twoCellAnchor>
    <xdr:from>
      <xdr:col>9</xdr:col>
      <xdr:colOff>228600</xdr:colOff>
      <xdr:row>63</xdr:row>
      <xdr:rowOff>38100</xdr:rowOff>
    </xdr:from>
    <xdr:to>
      <xdr:col>9</xdr:col>
      <xdr:colOff>552450</xdr:colOff>
      <xdr:row>63</xdr:row>
      <xdr:rowOff>38100</xdr:rowOff>
    </xdr:to>
    <xdr:sp macro="" textlink="">
      <xdr:nvSpPr>
        <xdr:cNvPr id="27" name="Line 379"/>
        <xdr:cNvSpPr>
          <a:spLocks noChangeShapeType="1"/>
        </xdr:cNvSpPr>
      </xdr:nvSpPr>
      <xdr:spPr bwMode="auto">
        <a:xfrm>
          <a:off x="6867525" y="10658475"/>
          <a:ext cx="3238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350646</xdr:colOff>
      <xdr:row>80</xdr:row>
      <xdr:rowOff>186690</xdr:rowOff>
    </xdr:from>
    <xdr:to>
      <xdr:col>9</xdr:col>
      <xdr:colOff>533274</xdr:colOff>
      <xdr:row>80</xdr:row>
      <xdr:rowOff>186690</xdr:rowOff>
    </xdr:to>
    <xdr:sp macro="" textlink="">
      <xdr:nvSpPr>
        <xdr:cNvPr id="31" name="Line 413"/>
        <xdr:cNvSpPr>
          <a:spLocks noChangeShapeType="1"/>
        </xdr:cNvSpPr>
      </xdr:nvSpPr>
      <xdr:spPr bwMode="auto">
        <a:xfrm>
          <a:off x="6309486" y="16402050"/>
          <a:ext cx="182628"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339090</xdr:colOff>
      <xdr:row>87</xdr:row>
      <xdr:rowOff>53340</xdr:rowOff>
    </xdr:from>
    <xdr:to>
      <xdr:col>9</xdr:col>
      <xdr:colOff>560070</xdr:colOff>
      <xdr:row>87</xdr:row>
      <xdr:rowOff>53340</xdr:rowOff>
    </xdr:to>
    <xdr:sp macro="" textlink="">
      <xdr:nvSpPr>
        <xdr:cNvPr id="32" name="Line 414"/>
        <xdr:cNvSpPr>
          <a:spLocks noChangeShapeType="1"/>
        </xdr:cNvSpPr>
      </xdr:nvSpPr>
      <xdr:spPr bwMode="auto">
        <a:xfrm>
          <a:off x="6297930" y="17655540"/>
          <a:ext cx="2209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438149</xdr:colOff>
      <xdr:row>81</xdr:row>
      <xdr:rowOff>6096</xdr:rowOff>
    </xdr:from>
    <xdr:to>
      <xdr:col>9</xdr:col>
      <xdr:colOff>438150</xdr:colOff>
      <xdr:row>87</xdr:row>
      <xdr:rowOff>41376</xdr:rowOff>
    </xdr:to>
    <xdr:sp macro="" textlink="">
      <xdr:nvSpPr>
        <xdr:cNvPr id="35" name="Line 417"/>
        <xdr:cNvSpPr>
          <a:spLocks noChangeShapeType="1"/>
        </xdr:cNvSpPr>
      </xdr:nvSpPr>
      <xdr:spPr bwMode="auto">
        <a:xfrm>
          <a:off x="6396989" y="16419576"/>
          <a:ext cx="1" cy="12240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441960</xdr:colOff>
      <xdr:row>87</xdr:row>
      <xdr:rowOff>43815</xdr:rowOff>
    </xdr:from>
    <xdr:to>
      <xdr:col>9</xdr:col>
      <xdr:colOff>441960</xdr:colOff>
      <xdr:row>88</xdr:row>
      <xdr:rowOff>24765</xdr:rowOff>
    </xdr:to>
    <xdr:sp macro="" textlink="">
      <xdr:nvSpPr>
        <xdr:cNvPr id="37" name="Line 419"/>
        <xdr:cNvSpPr>
          <a:spLocks noChangeShapeType="1"/>
        </xdr:cNvSpPr>
      </xdr:nvSpPr>
      <xdr:spPr bwMode="auto">
        <a:xfrm>
          <a:off x="6400800" y="17646015"/>
          <a:ext cx="0" cy="17907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oneCellAnchor>
    <xdr:from>
      <xdr:col>11</xdr:col>
      <xdr:colOff>497205</xdr:colOff>
      <xdr:row>83</xdr:row>
      <xdr:rowOff>22860</xdr:rowOff>
    </xdr:from>
    <xdr:ext cx="875368" cy="170560"/>
    <xdr:sp macro="" textlink="">
      <xdr:nvSpPr>
        <xdr:cNvPr id="39" name="Text Box 385"/>
        <xdr:cNvSpPr txBox="1">
          <a:spLocks noChangeArrowheads="1"/>
        </xdr:cNvSpPr>
      </xdr:nvSpPr>
      <xdr:spPr bwMode="auto">
        <a:xfrm>
          <a:off x="7713345" y="16832580"/>
          <a:ext cx="875368"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|L1-L2|≤0.5mm</a:t>
          </a:r>
        </a:p>
      </xdr:txBody>
    </xdr:sp>
    <xdr:clientData/>
  </xdr:oneCellAnchor>
  <xdr:twoCellAnchor>
    <xdr:from>
      <xdr:col>9</xdr:col>
      <xdr:colOff>390525</xdr:colOff>
      <xdr:row>101</xdr:row>
      <xdr:rowOff>19050</xdr:rowOff>
    </xdr:from>
    <xdr:to>
      <xdr:col>9</xdr:col>
      <xdr:colOff>657225</xdr:colOff>
      <xdr:row>101</xdr:row>
      <xdr:rowOff>19050</xdr:rowOff>
    </xdr:to>
    <xdr:sp macro="" textlink="">
      <xdr:nvSpPr>
        <xdr:cNvPr id="44" name="Line 413"/>
        <xdr:cNvSpPr>
          <a:spLocks noChangeShapeType="1"/>
        </xdr:cNvSpPr>
      </xdr:nvSpPr>
      <xdr:spPr bwMode="auto">
        <a:xfrm>
          <a:off x="7515225" y="15963900"/>
          <a:ext cx="266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371474</xdr:colOff>
      <xdr:row>108</xdr:row>
      <xdr:rowOff>9525</xdr:rowOff>
    </xdr:from>
    <xdr:to>
      <xdr:col>10</xdr:col>
      <xdr:colOff>457200</xdr:colOff>
      <xdr:row>108</xdr:row>
      <xdr:rowOff>9525</xdr:rowOff>
    </xdr:to>
    <xdr:sp macro="" textlink="">
      <xdr:nvSpPr>
        <xdr:cNvPr id="45" name="Line 414"/>
        <xdr:cNvSpPr>
          <a:spLocks noChangeShapeType="1"/>
        </xdr:cNvSpPr>
      </xdr:nvSpPr>
      <xdr:spPr bwMode="auto">
        <a:xfrm>
          <a:off x="7010399" y="24003000"/>
          <a:ext cx="800101"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381000</xdr:colOff>
      <xdr:row>99</xdr:row>
      <xdr:rowOff>0</xdr:rowOff>
    </xdr:from>
    <xdr:to>
      <xdr:col>9</xdr:col>
      <xdr:colOff>647700</xdr:colOff>
      <xdr:row>99</xdr:row>
      <xdr:rowOff>0</xdr:rowOff>
    </xdr:to>
    <xdr:sp macro="" textlink="">
      <xdr:nvSpPr>
        <xdr:cNvPr id="46" name="Line 415"/>
        <xdr:cNvSpPr>
          <a:spLocks noChangeShapeType="1"/>
        </xdr:cNvSpPr>
      </xdr:nvSpPr>
      <xdr:spPr bwMode="auto">
        <a:xfrm>
          <a:off x="7505700" y="15582900"/>
          <a:ext cx="2667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542925</xdr:colOff>
      <xdr:row>101</xdr:row>
      <xdr:rowOff>38101</xdr:rowOff>
    </xdr:from>
    <xdr:to>
      <xdr:col>9</xdr:col>
      <xdr:colOff>542925</xdr:colOff>
      <xdr:row>108</xdr:row>
      <xdr:rowOff>19050</xdr:rowOff>
    </xdr:to>
    <xdr:sp macro="" textlink="">
      <xdr:nvSpPr>
        <xdr:cNvPr id="47" name="Line 417"/>
        <xdr:cNvSpPr>
          <a:spLocks noChangeShapeType="1"/>
        </xdr:cNvSpPr>
      </xdr:nvSpPr>
      <xdr:spPr bwMode="auto">
        <a:xfrm>
          <a:off x="7181850" y="22631401"/>
          <a:ext cx="0" cy="1381124"/>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542925</xdr:colOff>
      <xdr:row>99</xdr:row>
      <xdr:rowOff>9525</xdr:rowOff>
    </xdr:from>
    <xdr:to>
      <xdr:col>9</xdr:col>
      <xdr:colOff>542925</xdr:colOff>
      <xdr:row>101</xdr:row>
      <xdr:rowOff>0</xdr:rowOff>
    </xdr:to>
    <xdr:sp macro="" textlink="">
      <xdr:nvSpPr>
        <xdr:cNvPr id="48" name="Line 418"/>
        <xdr:cNvSpPr>
          <a:spLocks noChangeShapeType="1"/>
        </xdr:cNvSpPr>
      </xdr:nvSpPr>
      <xdr:spPr bwMode="auto">
        <a:xfrm>
          <a:off x="7667625" y="15592425"/>
          <a:ext cx="0" cy="3524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oneCellAnchor>
    <xdr:from>
      <xdr:col>9</xdr:col>
      <xdr:colOff>560070</xdr:colOff>
      <xdr:row>99</xdr:row>
      <xdr:rowOff>95250</xdr:rowOff>
    </xdr:from>
    <xdr:ext cx="161070" cy="170560"/>
    <xdr:sp macro="" textlink="">
      <xdr:nvSpPr>
        <xdr:cNvPr id="50" name="Text Box 384"/>
        <xdr:cNvSpPr txBox="1">
          <a:spLocks noChangeArrowheads="1"/>
        </xdr:cNvSpPr>
      </xdr:nvSpPr>
      <xdr:spPr bwMode="auto">
        <a:xfrm>
          <a:off x="6518910" y="20074890"/>
          <a:ext cx="161070"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L3</a:t>
          </a:r>
        </a:p>
      </xdr:txBody>
    </xdr:sp>
    <xdr:clientData/>
  </xdr:oneCellAnchor>
  <xdr:oneCellAnchor>
    <xdr:from>
      <xdr:col>12</xdr:col>
      <xdr:colOff>9525</xdr:colOff>
      <xdr:row>77</xdr:row>
      <xdr:rowOff>9525</xdr:rowOff>
    </xdr:from>
    <xdr:ext cx="563616" cy="170560"/>
    <xdr:sp macro="" textlink="">
      <xdr:nvSpPr>
        <xdr:cNvPr id="51" name="Text Box 386"/>
        <xdr:cNvSpPr txBox="1">
          <a:spLocks noChangeArrowheads="1"/>
        </xdr:cNvSpPr>
      </xdr:nvSpPr>
      <xdr:spPr bwMode="auto">
        <a:xfrm>
          <a:off x="8734425" y="15859125"/>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504825</xdr:colOff>
      <xdr:row>100</xdr:row>
      <xdr:rowOff>9525</xdr:rowOff>
    </xdr:from>
    <xdr:ext cx="563616" cy="170560"/>
    <xdr:sp macro="" textlink="">
      <xdr:nvSpPr>
        <xdr:cNvPr id="53" name="Text Box 386"/>
        <xdr:cNvSpPr txBox="1">
          <a:spLocks noChangeArrowheads="1"/>
        </xdr:cNvSpPr>
      </xdr:nvSpPr>
      <xdr:spPr bwMode="auto">
        <a:xfrm>
          <a:off x="7858125" y="2240280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209550</xdr:colOff>
      <xdr:row>69</xdr:row>
      <xdr:rowOff>9525</xdr:rowOff>
    </xdr:from>
    <xdr:ext cx="563616" cy="170560"/>
    <xdr:sp macro="" textlink="">
      <xdr:nvSpPr>
        <xdr:cNvPr id="68" name="Text Box 386"/>
        <xdr:cNvSpPr txBox="1">
          <a:spLocks noChangeArrowheads="1"/>
        </xdr:cNvSpPr>
      </xdr:nvSpPr>
      <xdr:spPr bwMode="auto">
        <a:xfrm>
          <a:off x="7562850" y="1171575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342900</xdr:colOff>
      <xdr:row>67</xdr:row>
      <xdr:rowOff>28575</xdr:rowOff>
    </xdr:from>
    <xdr:ext cx="563616" cy="170560"/>
    <xdr:sp macro="" textlink="">
      <xdr:nvSpPr>
        <xdr:cNvPr id="69" name="Text Box 386"/>
        <xdr:cNvSpPr txBox="1">
          <a:spLocks noChangeArrowheads="1"/>
        </xdr:cNvSpPr>
      </xdr:nvSpPr>
      <xdr:spPr bwMode="auto">
        <a:xfrm>
          <a:off x="7696200" y="1682115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twoCellAnchor>
    <xdr:from>
      <xdr:col>0</xdr:col>
      <xdr:colOff>238124</xdr:colOff>
      <xdr:row>66</xdr:row>
      <xdr:rowOff>152381</xdr:rowOff>
    </xdr:from>
    <xdr:to>
      <xdr:col>9</xdr:col>
      <xdr:colOff>675420</xdr:colOff>
      <xdr:row>71</xdr:row>
      <xdr:rowOff>142875</xdr:rowOff>
    </xdr:to>
    <xdr:grpSp>
      <xdr:nvGrpSpPr>
        <xdr:cNvPr id="21" name="组合 20"/>
        <xdr:cNvGrpSpPr/>
      </xdr:nvGrpSpPr>
      <xdr:grpSpPr>
        <a:xfrm>
          <a:off x="238124" y="13744556"/>
          <a:ext cx="7076221" cy="990619"/>
          <a:chOff x="238124" y="12372956"/>
          <a:chExt cx="7076221" cy="990619"/>
        </a:xfrm>
      </xdr:grpSpPr>
      <xdr:sp macro="" textlink="">
        <xdr:nvSpPr>
          <xdr:cNvPr id="63" name="Line 377"/>
          <xdr:cNvSpPr>
            <a:spLocks noChangeShapeType="1"/>
          </xdr:cNvSpPr>
        </xdr:nvSpPr>
        <xdr:spPr bwMode="auto">
          <a:xfrm>
            <a:off x="6953250" y="12639675"/>
            <a:ext cx="1809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65" name="Line 381"/>
          <xdr:cNvSpPr>
            <a:spLocks noChangeShapeType="1"/>
          </xdr:cNvSpPr>
        </xdr:nvSpPr>
        <xdr:spPr bwMode="auto">
          <a:xfrm>
            <a:off x="7105650" y="12668251"/>
            <a:ext cx="0" cy="676274"/>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grpSp>
        <xdr:nvGrpSpPr>
          <xdr:cNvPr id="119" name="组合 118"/>
          <xdr:cNvGrpSpPr/>
        </xdr:nvGrpSpPr>
        <xdr:grpSpPr>
          <a:xfrm>
            <a:off x="6943725" y="12372956"/>
            <a:ext cx="370620" cy="266699"/>
            <a:chOff x="6943725" y="11335616"/>
            <a:chExt cx="370620" cy="242454"/>
          </a:xfrm>
        </xdr:grpSpPr>
        <xdr:sp macro="" textlink="">
          <xdr:nvSpPr>
            <xdr:cNvPr id="64" name="Line 379"/>
            <xdr:cNvSpPr>
              <a:spLocks noChangeShapeType="1"/>
            </xdr:cNvSpPr>
          </xdr:nvSpPr>
          <xdr:spPr bwMode="auto">
            <a:xfrm>
              <a:off x="6943725" y="11353800"/>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66" name="Line 382"/>
            <xdr:cNvSpPr>
              <a:spLocks noChangeShapeType="1"/>
            </xdr:cNvSpPr>
          </xdr:nvSpPr>
          <xdr:spPr bwMode="auto">
            <a:xfrm>
              <a:off x="7077075" y="11335616"/>
              <a:ext cx="0" cy="242454"/>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sp macro="" textlink="">
          <xdr:nvSpPr>
            <xdr:cNvPr id="67" name="Text Box 384"/>
            <xdr:cNvSpPr txBox="1">
              <a:spLocks noChangeArrowheads="1"/>
            </xdr:cNvSpPr>
          </xdr:nvSpPr>
          <xdr:spPr bwMode="auto">
            <a:xfrm>
              <a:off x="7153275" y="11353800"/>
              <a:ext cx="161070" cy="155055"/>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L3</a:t>
              </a:r>
            </a:p>
          </xdr:txBody>
        </xdr:sp>
      </xdr:grpSp>
      <xdr:sp macro="" textlink="">
        <xdr:nvSpPr>
          <xdr:cNvPr id="70" name="Line 379"/>
          <xdr:cNvSpPr>
            <a:spLocks noChangeShapeType="1"/>
          </xdr:cNvSpPr>
        </xdr:nvSpPr>
        <xdr:spPr bwMode="auto">
          <a:xfrm>
            <a:off x="6972300" y="13363575"/>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grpSp>
        <xdr:nvGrpSpPr>
          <xdr:cNvPr id="85" name="组合 84"/>
          <xdr:cNvGrpSpPr/>
        </xdr:nvGrpSpPr>
        <xdr:grpSpPr>
          <a:xfrm>
            <a:off x="238124" y="12392025"/>
            <a:ext cx="6715126" cy="971550"/>
            <a:chOff x="238124" y="11334750"/>
            <a:chExt cx="6715126" cy="885825"/>
          </a:xfrm>
        </xdr:grpSpPr>
        <xdr:sp macro="" textlink="">
          <xdr:nvSpPr>
            <xdr:cNvPr id="61" name="Rectangle 374"/>
            <xdr:cNvSpPr>
              <a:spLocks noChangeArrowheads="1"/>
            </xdr:cNvSpPr>
          </xdr:nvSpPr>
          <xdr:spPr bwMode="auto">
            <a:xfrm>
              <a:off x="238124" y="11553825"/>
              <a:ext cx="6715126" cy="666750"/>
            </a:xfrm>
            <a:prstGeom prst="rect">
              <a:avLst/>
            </a:prstGeom>
            <a:solidFill>
              <a:srgbClr xmlns:mc="http://schemas.openxmlformats.org/markup-compatibility/2006" xmlns:a14="http://schemas.microsoft.com/office/drawing/2010/main" val="C0C0C0" mc:Ignorable="a14" a14:legacySpreadsheetColorIndex="22"/>
            </a:solidFill>
            <a:ln w="9525">
              <a:solidFill>
                <a:schemeClr val="bg1">
                  <a:lumMod val="75000"/>
                </a:schemeClr>
              </a:solidFill>
              <a:miter lim="800000"/>
              <a:headEnd/>
              <a:tailEnd/>
            </a:ln>
          </xdr:spPr>
        </xdr:sp>
        <xdr:grpSp>
          <xdr:nvGrpSpPr>
            <xdr:cNvPr id="82" name="组合 81"/>
            <xdr:cNvGrpSpPr/>
          </xdr:nvGrpSpPr>
          <xdr:grpSpPr>
            <a:xfrm>
              <a:off x="6181724" y="11334750"/>
              <a:ext cx="409576" cy="219075"/>
              <a:chOff x="6181724" y="11153775"/>
              <a:chExt cx="409576" cy="219075"/>
            </a:xfrm>
          </xdr:grpSpPr>
          <xdr:sp macro="" textlink="">
            <xdr:nvSpPr>
              <xdr:cNvPr id="62" name="Rectangle 376"/>
              <xdr:cNvSpPr>
                <a:spLocks noChangeArrowheads="1"/>
              </xdr:cNvSpPr>
            </xdr:nvSpPr>
            <xdr:spPr bwMode="auto">
              <a:xfrm>
                <a:off x="6181724"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74" name="直接连接符 73"/>
              <xdr:cNvCxnSpPr/>
            </xdr:nvCxnSpPr>
            <xdr:spPr>
              <a:xfrm>
                <a:off x="6181725"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nvGrpSpPr>
            <xdr:cNvPr id="83" name="组合 82"/>
            <xdr:cNvGrpSpPr/>
          </xdr:nvGrpSpPr>
          <xdr:grpSpPr>
            <a:xfrm>
              <a:off x="3486150" y="11334750"/>
              <a:ext cx="409575" cy="219075"/>
              <a:chOff x="3486150" y="11153775"/>
              <a:chExt cx="409575" cy="219075"/>
            </a:xfrm>
          </xdr:grpSpPr>
          <xdr:sp macro="" textlink="">
            <xdr:nvSpPr>
              <xdr:cNvPr id="71" name="Rectangle 376"/>
              <xdr:cNvSpPr>
                <a:spLocks noChangeArrowheads="1"/>
              </xdr:cNvSpPr>
            </xdr:nvSpPr>
            <xdr:spPr bwMode="auto">
              <a:xfrm>
                <a:off x="3486150"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80" name="直接连接符 79"/>
              <xdr:cNvCxnSpPr/>
            </xdr:nvCxnSpPr>
            <xdr:spPr>
              <a:xfrm>
                <a:off x="3486150"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nvGrpSpPr>
            <xdr:cNvPr id="84" name="组合 83"/>
            <xdr:cNvGrpSpPr/>
          </xdr:nvGrpSpPr>
          <xdr:grpSpPr>
            <a:xfrm>
              <a:off x="923925" y="11334750"/>
              <a:ext cx="409575" cy="219075"/>
              <a:chOff x="923925" y="11153775"/>
              <a:chExt cx="409575" cy="219075"/>
            </a:xfrm>
          </xdr:grpSpPr>
          <xdr:sp macro="" textlink="">
            <xdr:nvSpPr>
              <xdr:cNvPr id="72" name="Rectangle 376"/>
              <xdr:cNvSpPr>
                <a:spLocks noChangeArrowheads="1"/>
              </xdr:cNvSpPr>
            </xdr:nvSpPr>
            <xdr:spPr bwMode="auto">
              <a:xfrm>
                <a:off x="923925"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81" name="直接连接符 80"/>
              <xdr:cNvCxnSpPr/>
            </xdr:nvCxnSpPr>
            <xdr:spPr>
              <a:xfrm>
                <a:off x="923925"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grpSp>
    <xdr:clientData/>
  </xdr:twoCellAnchor>
  <xdr:twoCellAnchor>
    <xdr:from>
      <xdr:col>0</xdr:col>
      <xdr:colOff>142875</xdr:colOff>
      <xdr:row>55</xdr:row>
      <xdr:rowOff>57150</xdr:rowOff>
    </xdr:from>
    <xdr:to>
      <xdr:col>9</xdr:col>
      <xdr:colOff>219076</xdr:colOff>
      <xdr:row>64</xdr:row>
      <xdr:rowOff>85725</xdr:rowOff>
    </xdr:to>
    <xdr:grpSp>
      <xdr:nvGrpSpPr>
        <xdr:cNvPr id="18" name="组合 17"/>
        <xdr:cNvGrpSpPr/>
      </xdr:nvGrpSpPr>
      <xdr:grpSpPr>
        <a:xfrm>
          <a:off x="142875" y="11449050"/>
          <a:ext cx="6715126" cy="1828800"/>
          <a:chOff x="142875" y="14449425"/>
          <a:chExt cx="6715126" cy="1828800"/>
        </a:xfrm>
      </xdr:grpSpPr>
      <xdr:sp macro="" textlink="">
        <xdr:nvSpPr>
          <xdr:cNvPr id="87" name="Rectangle 374"/>
          <xdr:cNvSpPr>
            <a:spLocks noChangeArrowheads="1"/>
          </xdr:cNvSpPr>
        </xdr:nvSpPr>
        <xdr:spPr bwMode="auto">
          <a:xfrm>
            <a:off x="142875" y="14687550"/>
            <a:ext cx="6715126" cy="742950"/>
          </a:xfrm>
          <a:prstGeom prst="rect">
            <a:avLst/>
          </a:prstGeom>
          <a:solidFill>
            <a:srgbClr xmlns:mc="http://schemas.openxmlformats.org/markup-compatibility/2006" xmlns:a14="http://schemas.microsoft.com/office/drawing/2010/main" val="C0C0C0" mc:Ignorable="a14" a14:legacySpreadsheetColorIndex="22"/>
          </a:solidFill>
          <a:ln w="9525">
            <a:solidFill>
              <a:schemeClr val="bg1">
                <a:lumMod val="75000"/>
              </a:schemeClr>
            </a:solidFill>
            <a:miter lim="800000"/>
            <a:headEnd/>
            <a:tailEnd/>
          </a:ln>
        </xdr:spPr>
      </xdr:sp>
      <xdr:grpSp>
        <xdr:nvGrpSpPr>
          <xdr:cNvPr id="88" name="组合 87"/>
          <xdr:cNvGrpSpPr/>
        </xdr:nvGrpSpPr>
        <xdr:grpSpPr>
          <a:xfrm>
            <a:off x="6086475" y="14449425"/>
            <a:ext cx="409576" cy="238125"/>
            <a:chOff x="6181724" y="11153775"/>
            <a:chExt cx="409576" cy="219075"/>
          </a:xfrm>
        </xdr:grpSpPr>
        <xdr:sp macro="" textlink="">
          <xdr:nvSpPr>
            <xdr:cNvPr id="95" name="Rectangle 376"/>
            <xdr:cNvSpPr>
              <a:spLocks noChangeArrowheads="1"/>
            </xdr:cNvSpPr>
          </xdr:nvSpPr>
          <xdr:spPr bwMode="auto">
            <a:xfrm>
              <a:off x="6181724"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96" name="直接连接符 95"/>
            <xdr:cNvCxnSpPr/>
          </xdr:nvCxnSpPr>
          <xdr:spPr>
            <a:xfrm>
              <a:off x="6181725"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nvGrpSpPr>
          <xdr:cNvPr id="89" name="组合 88"/>
          <xdr:cNvGrpSpPr/>
        </xdr:nvGrpSpPr>
        <xdr:grpSpPr>
          <a:xfrm>
            <a:off x="3390901" y="14449425"/>
            <a:ext cx="409575" cy="238125"/>
            <a:chOff x="3486150" y="11153775"/>
            <a:chExt cx="409575" cy="219075"/>
          </a:xfrm>
        </xdr:grpSpPr>
        <xdr:sp macro="" textlink="">
          <xdr:nvSpPr>
            <xdr:cNvPr id="93" name="Rectangle 376"/>
            <xdr:cNvSpPr>
              <a:spLocks noChangeArrowheads="1"/>
            </xdr:cNvSpPr>
          </xdr:nvSpPr>
          <xdr:spPr bwMode="auto">
            <a:xfrm>
              <a:off x="3486150"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94" name="直接连接符 93"/>
            <xdr:cNvCxnSpPr/>
          </xdr:nvCxnSpPr>
          <xdr:spPr>
            <a:xfrm>
              <a:off x="3486150"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nvGrpSpPr>
          <xdr:cNvPr id="90" name="组合 89"/>
          <xdr:cNvGrpSpPr/>
        </xdr:nvGrpSpPr>
        <xdr:grpSpPr>
          <a:xfrm>
            <a:off x="828676" y="14449425"/>
            <a:ext cx="409575" cy="238125"/>
            <a:chOff x="923925" y="11153775"/>
            <a:chExt cx="409575" cy="219075"/>
          </a:xfrm>
        </xdr:grpSpPr>
        <xdr:sp macro="" textlink="">
          <xdr:nvSpPr>
            <xdr:cNvPr id="91" name="Rectangle 376"/>
            <xdr:cNvSpPr>
              <a:spLocks noChangeArrowheads="1"/>
            </xdr:cNvSpPr>
          </xdr:nvSpPr>
          <xdr:spPr bwMode="auto">
            <a:xfrm>
              <a:off x="923925"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92" name="直接连接符 91"/>
            <xdr:cNvCxnSpPr/>
          </xdr:nvCxnSpPr>
          <xdr:spPr>
            <a:xfrm>
              <a:off x="923925"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108" name="Rectangle 374"/>
          <xdr:cNvSpPr>
            <a:spLocks noChangeArrowheads="1"/>
          </xdr:cNvSpPr>
        </xdr:nvSpPr>
        <xdr:spPr bwMode="auto">
          <a:xfrm>
            <a:off x="142875" y="15297150"/>
            <a:ext cx="6715126" cy="733425"/>
          </a:xfrm>
          <a:prstGeom prst="rect">
            <a:avLst/>
          </a:prstGeom>
          <a:solidFill>
            <a:srgbClr xmlns:mc="http://schemas.openxmlformats.org/markup-compatibility/2006" xmlns:a14="http://schemas.microsoft.com/office/drawing/2010/main" val="C0C0C0" mc:Ignorable="a14" a14:legacySpreadsheetColorIndex="22"/>
          </a:solidFill>
          <a:ln w="9525">
            <a:solidFill>
              <a:schemeClr val="bg1">
                <a:lumMod val="75000"/>
              </a:schemeClr>
            </a:solidFill>
            <a:miter lim="800000"/>
            <a:headEnd/>
            <a:tailEnd/>
          </a:ln>
        </xdr:spPr>
      </xdr:sp>
      <xdr:grpSp>
        <xdr:nvGrpSpPr>
          <xdr:cNvPr id="109" name="组合 108"/>
          <xdr:cNvGrpSpPr/>
        </xdr:nvGrpSpPr>
        <xdr:grpSpPr>
          <a:xfrm rot="10800000">
            <a:off x="6096000" y="16040100"/>
            <a:ext cx="409576" cy="238125"/>
            <a:chOff x="6181724" y="11153775"/>
            <a:chExt cx="409576" cy="219075"/>
          </a:xfrm>
        </xdr:grpSpPr>
        <xdr:sp macro="" textlink="">
          <xdr:nvSpPr>
            <xdr:cNvPr id="110" name="Rectangle 376"/>
            <xdr:cNvSpPr>
              <a:spLocks noChangeArrowheads="1"/>
            </xdr:cNvSpPr>
          </xdr:nvSpPr>
          <xdr:spPr bwMode="auto">
            <a:xfrm>
              <a:off x="6181724"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111" name="直接连接符 110"/>
            <xdr:cNvCxnSpPr/>
          </xdr:nvCxnSpPr>
          <xdr:spPr>
            <a:xfrm>
              <a:off x="6181725"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nvGrpSpPr>
          <xdr:cNvPr id="112" name="组合 111"/>
          <xdr:cNvGrpSpPr/>
        </xdr:nvGrpSpPr>
        <xdr:grpSpPr>
          <a:xfrm rot="10800000">
            <a:off x="3390900" y="16040100"/>
            <a:ext cx="409576" cy="238125"/>
            <a:chOff x="6181724" y="11153775"/>
            <a:chExt cx="409576" cy="219075"/>
          </a:xfrm>
        </xdr:grpSpPr>
        <xdr:sp macro="" textlink="">
          <xdr:nvSpPr>
            <xdr:cNvPr id="113" name="Rectangle 376"/>
            <xdr:cNvSpPr>
              <a:spLocks noChangeArrowheads="1"/>
            </xdr:cNvSpPr>
          </xdr:nvSpPr>
          <xdr:spPr bwMode="auto">
            <a:xfrm>
              <a:off x="6181724"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114" name="直接连接符 113"/>
            <xdr:cNvCxnSpPr/>
          </xdr:nvCxnSpPr>
          <xdr:spPr>
            <a:xfrm>
              <a:off x="6181725"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nvGrpSpPr>
          <xdr:cNvPr id="115" name="组合 114"/>
          <xdr:cNvGrpSpPr/>
        </xdr:nvGrpSpPr>
        <xdr:grpSpPr>
          <a:xfrm rot="10800000">
            <a:off x="838200" y="16040100"/>
            <a:ext cx="409576" cy="238125"/>
            <a:chOff x="6181724" y="11153775"/>
            <a:chExt cx="409576" cy="219075"/>
          </a:xfrm>
        </xdr:grpSpPr>
        <xdr:sp macro="" textlink="">
          <xdr:nvSpPr>
            <xdr:cNvPr id="116" name="Rectangle 376"/>
            <xdr:cNvSpPr>
              <a:spLocks noChangeArrowheads="1"/>
            </xdr:cNvSpPr>
          </xdr:nvSpPr>
          <xdr:spPr bwMode="auto">
            <a:xfrm>
              <a:off x="6181724"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117" name="直接连接符 116"/>
            <xdr:cNvCxnSpPr/>
          </xdr:nvCxnSpPr>
          <xdr:spPr>
            <a:xfrm>
              <a:off x="6181725"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9</xdr:col>
      <xdr:colOff>228600</xdr:colOff>
      <xdr:row>56</xdr:row>
      <xdr:rowOff>95250</xdr:rowOff>
    </xdr:from>
    <xdr:to>
      <xdr:col>9</xdr:col>
      <xdr:colOff>552450</xdr:colOff>
      <xdr:row>56</xdr:row>
      <xdr:rowOff>95250</xdr:rowOff>
    </xdr:to>
    <xdr:sp macro="" textlink="">
      <xdr:nvSpPr>
        <xdr:cNvPr id="118" name="Line 379"/>
        <xdr:cNvSpPr>
          <a:spLocks noChangeShapeType="1"/>
        </xdr:cNvSpPr>
      </xdr:nvSpPr>
      <xdr:spPr bwMode="auto">
        <a:xfrm>
          <a:off x="6867525" y="9439275"/>
          <a:ext cx="32385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257175</xdr:colOff>
      <xdr:row>55</xdr:row>
      <xdr:rowOff>38100</xdr:rowOff>
    </xdr:from>
    <xdr:to>
      <xdr:col>9</xdr:col>
      <xdr:colOff>627795</xdr:colOff>
      <xdr:row>56</xdr:row>
      <xdr:rowOff>95250</xdr:rowOff>
    </xdr:to>
    <xdr:grpSp>
      <xdr:nvGrpSpPr>
        <xdr:cNvPr id="120" name="组合 119"/>
        <xdr:cNvGrpSpPr/>
      </xdr:nvGrpSpPr>
      <xdr:grpSpPr>
        <a:xfrm>
          <a:off x="6896100" y="11430000"/>
          <a:ext cx="370620" cy="257175"/>
          <a:chOff x="6943725" y="11353800"/>
          <a:chExt cx="370620" cy="238125"/>
        </a:xfrm>
      </xdr:grpSpPr>
      <xdr:sp macro="" textlink="">
        <xdr:nvSpPr>
          <xdr:cNvPr id="121" name="Line 379"/>
          <xdr:cNvSpPr>
            <a:spLocks noChangeShapeType="1"/>
          </xdr:cNvSpPr>
        </xdr:nvSpPr>
        <xdr:spPr bwMode="auto">
          <a:xfrm>
            <a:off x="6943725" y="11353800"/>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122" name="Line 382"/>
          <xdr:cNvSpPr>
            <a:spLocks noChangeShapeType="1"/>
          </xdr:cNvSpPr>
        </xdr:nvSpPr>
        <xdr:spPr bwMode="auto">
          <a:xfrm flipH="1">
            <a:off x="7096124" y="11363324"/>
            <a:ext cx="0" cy="228601"/>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sp macro="" textlink="">
        <xdr:nvSpPr>
          <xdr:cNvPr id="123" name="Text Box 384"/>
          <xdr:cNvSpPr txBox="1">
            <a:spLocks noChangeArrowheads="1"/>
          </xdr:cNvSpPr>
        </xdr:nvSpPr>
        <xdr:spPr bwMode="auto">
          <a:xfrm>
            <a:off x="7153275" y="11353800"/>
            <a:ext cx="161070" cy="15792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L3</a:t>
            </a:r>
          </a:p>
        </xdr:txBody>
      </xdr:sp>
    </xdr:grpSp>
    <xdr:clientData/>
  </xdr:twoCellAnchor>
  <xdr:twoCellAnchor>
    <xdr:from>
      <xdr:col>2</xdr:col>
      <xdr:colOff>0</xdr:colOff>
      <xdr:row>12</xdr:row>
      <xdr:rowOff>139065</xdr:rowOff>
    </xdr:from>
    <xdr:to>
      <xdr:col>9</xdr:col>
      <xdr:colOff>66675</xdr:colOff>
      <xdr:row>26</xdr:row>
      <xdr:rowOff>129540</xdr:rowOff>
    </xdr:to>
    <xdr:sp macro="" textlink="">
      <xdr:nvSpPr>
        <xdr:cNvPr id="125" name="Rectangle 141"/>
        <xdr:cNvSpPr>
          <a:spLocks noChangeArrowheads="1"/>
        </xdr:cNvSpPr>
      </xdr:nvSpPr>
      <xdr:spPr bwMode="auto">
        <a:xfrm>
          <a:off x="830580" y="2600325"/>
          <a:ext cx="5194935" cy="2962275"/>
        </a:xfrm>
        <a:prstGeom prst="rect">
          <a:avLst/>
        </a:prstGeom>
        <a:solidFill>
          <a:srgbClr xmlns:mc="http://schemas.openxmlformats.org/markup-compatibility/2006" xmlns:a14="http://schemas.microsoft.com/office/drawing/2010/main" val="808080" mc:Ignorable="a14" a14:legacySpreadsheetColorIndex="23"/>
        </a:solidFill>
        <a:ln w="15875">
          <a:solidFill>
            <a:srgbClr xmlns:mc="http://schemas.openxmlformats.org/markup-compatibility/2006" xmlns:a14="http://schemas.microsoft.com/office/drawing/2010/main" val="FF6600" mc:Ignorable="a14" a14:legacySpreadsheetColorIndex="53"/>
          </a:solidFill>
          <a:prstDash val="dash"/>
          <a:miter lim="800000"/>
          <a:headEnd/>
          <a:tailEnd/>
        </a:ln>
      </xdr:spPr>
    </xdr:sp>
    <xdr:clientData/>
  </xdr:twoCellAnchor>
  <xdr:twoCellAnchor>
    <xdr:from>
      <xdr:col>2</xdr:col>
      <xdr:colOff>171449</xdr:colOff>
      <xdr:row>13</xdr:row>
      <xdr:rowOff>112396</xdr:rowOff>
    </xdr:from>
    <xdr:to>
      <xdr:col>8</xdr:col>
      <xdr:colOff>581024</xdr:colOff>
      <xdr:row>25</xdr:row>
      <xdr:rowOff>150496</xdr:rowOff>
    </xdr:to>
    <xdr:sp macro="" textlink="">
      <xdr:nvSpPr>
        <xdr:cNvPr id="126" name="Rectangle 142"/>
        <xdr:cNvSpPr>
          <a:spLocks noChangeArrowheads="1"/>
        </xdr:cNvSpPr>
      </xdr:nvSpPr>
      <xdr:spPr bwMode="auto">
        <a:xfrm>
          <a:off x="1002029" y="2771776"/>
          <a:ext cx="4897755" cy="2598420"/>
        </a:xfrm>
        <a:prstGeom prst="rect">
          <a:avLst/>
        </a:prstGeom>
        <a:solidFill>
          <a:srgbClr xmlns:mc="http://schemas.openxmlformats.org/markup-compatibility/2006" xmlns:a14="http://schemas.microsoft.com/office/drawing/2010/main" val="000000" mc:Ignorable="a14" a14:legacySpreadsheetColorIndex="8"/>
        </a:solidFill>
        <a:ln w="15875">
          <a:solidFill>
            <a:srgbClr xmlns:mc="http://schemas.openxmlformats.org/markup-compatibility/2006" xmlns:a14="http://schemas.microsoft.com/office/drawing/2010/main" val="00CCFF" mc:Ignorable="a14" a14:legacySpreadsheetColorIndex="40"/>
          </a:solidFill>
          <a:prstDash val="dash"/>
          <a:miter lim="800000"/>
          <a:headEnd/>
          <a:tailEnd/>
        </a:ln>
      </xdr:spPr>
    </xdr:sp>
    <xdr:clientData/>
  </xdr:twoCellAnchor>
  <xdr:twoCellAnchor>
    <xdr:from>
      <xdr:col>9</xdr:col>
      <xdr:colOff>87629</xdr:colOff>
      <xdr:row>12</xdr:row>
      <xdr:rowOff>142875</xdr:rowOff>
    </xdr:from>
    <xdr:to>
      <xdr:col>11</xdr:col>
      <xdr:colOff>363854</xdr:colOff>
      <xdr:row>12</xdr:row>
      <xdr:rowOff>142875</xdr:rowOff>
    </xdr:to>
    <xdr:sp macro="" textlink="">
      <xdr:nvSpPr>
        <xdr:cNvPr id="128" name="Line 147"/>
        <xdr:cNvSpPr>
          <a:spLocks noChangeShapeType="1"/>
        </xdr:cNvSpPr>
      </xdr:nvSpPr>
      <xdr:spPr bwMode="auto">
        <a:xfrm>
          <a:off x="6046469" y="2604135"/>
          <a:ext cx="153352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114299</xdr:colOff>
      <xdr:row>11</xdr:row>
      <xdr:rowOff>142875</xdr:rowOff>
    </xdr:from>
    <xdr:to>
      <xdr:col>9</xdr:col>
      <xdr:colOff>114300</xdr:colOff>
      <xdr:row>12</xdr:row>
      <xdr:rowOff>142875</xdr:rowOff>
    </xdr:to>
    <xdr:sp macro="" textlink="">
      <xdr:nvSpPr>
        <xdr:cNvPr id="129" name="Line 148"/>
        <xdr:cNvSpPr>
          <a:spLocks noChangeShapeType="1"/>
        </xdr:cNvSpPr>
      </xdr:nvSpPr>
      <xdr:spPr bwMode="auto">
        <a:xfrm flipH="1">
          <a:off x="6753224" y="6781800"/>
          <a:ext cx="1" cy="2000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oneCellAnchor>
    <xdr:from>
      <xdr:col>0</xdr:col>
      <xdr:colOff>217833</xdr:colOff>
      <xdr:row>15</xdr:row>
      <xdr:rowOff>29403</xdr:rowOff>
    </xdr:from>
    <xdr:ext cx="581569" cy="170560"/>
    <xdr:sp macro="" textlink="">
      <xdr:nvSpPr>
        <xdr:cNvPr id="131" name="Text Box 151"/>
        <xdr:cNvSpPr txBox="1">
          <a:spLocks noChangeArrowheads="1"/>
        </xdr:cNvSpPr>
      </xdr:nvSpPr>
      <xdr:spPr bwMode="auto">
        <a:xfrm>
          <a:off x="217833" y="7925628"/>
          <a:ext cx="581569"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Separator</a:t>
          </a:r>
        </a:p>
      </xdr:txBody>
    </xdr:sp>
    <xdr:clientData/>
  </xdr:oneCellAnchor>
  <xdr:twoCellAnchor>
    <xdr:from>
      <xdr:col>8</xdr:col>
      <xdr:colOff>609599</xdr:colOff>
      <xdr:row>25</xdr:row>
      <xdr:rowOff>140970</xdr:rowOff>
    </xdr:from>
    <xdr:to>
      <xdr:col>11</xdr:col>
      <xdr:colOff>38099</xdr:colOff>
      <xdr:row>25</xdr:row>
      <xdr:rowOff>140970</xdr:rowOff>
    </xdr:to>
    <xdr:sp macro="" textlink="">
      <xdr:nvSpPr>
        <xdr:cNvPr id="134" name="Line 155"/>
        <xdr:cNvSpPr>
          <a:spLocks noChangeShapeType="1"/>
        </xdr:cNvSpPr>
      </xdr:nvSpPr>
      <xdr:spPr bwMode="auto">
        <a:xfrm flipV="1">
          <a:off x="5928359" y="5360670"/>
          <a:ext cx="132588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57150</xdr:colOff>
      <xdr:row>26</xdr:row>
      <xdr:rowOff>129540</xdr:rowOff>
    </xdr:from>
    <xdr:to>
      <xdr:col>11</xdr:col>
      <xdr:colOff>304800</xdr:colOff>
      <xdr:row>26</xdr:row>
      <xdr:rowOff>130782</xdr:rowOff>
    </xdr:to>
    <xdr:sp macro="" textlink="">
      <xdr:nvSpPr>
        <xdr:cNvPr id="135" name="Line 156"/>
        <xdr:cNvSpPr>
          <a:spLocks noChangeShapeType="1"/>
        </xdr:cNvSpPr>
      </xdr:nvSpPr>
      <xdr:spPr bwMode="auto">
        <a:xfrm flipV="1">
          <a:off x="6015990" y="5562600"/>
          <a:ext cx="1504950" cy="1242"/>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9</xdr:col>
      <xdr:colOff>186689</xdr:colOff>
      <xdr:row>25</xdr:row>
      <xdr:rowOff>140970</xdr:rowOff>
    </xdr:from>
    <xdr:to>
      <xdr:col>9</xdr:col>
      <xdr:colOff>186689</xdr:colOff>
      <xdr:row>26</xdr:row>
      <xdr:rowOff>121920</xdr:rowOff>
    </xdr:to>
    <xdr:sp macro="" textlink="">
      <xdr:nvSpPr>
        <xdr:cNvPr id="136" name="Line 157"/>
        <xdr:cNvSpPr>
          <a:spLocks noChangeShapeType="1"/>
        </xdr:cNvSpPr>
      </xdr:nvSpPr>
      <xdr:spPr bwMode="auto">
        <a:xfrm flipH="1">
          <a:off x="6145529" y="5360670"/>
          <a:ext cx="0" cy="19431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184204</xdr:colOff>
      <xdr:row>26</xdr:row>
      <xdr:rowOff>129540</xdr:rowOff>
    </xdr:from>
    <xdr:to>
      <xdr:col>9</xdr:col>
      <xdr:colOff>186689</xdr:colOff>
      <xdr:row>27</xdr:row>
      <xdr:rowOff>164327</xdr:rowOff>
    </xdr:to>
    <xdr:sp macro="" textlink="">
      <xdr:nvSpPr>
        <xdr:cNvPr id="137" name="Line 158"/>
        <xdr:cNvSpPr>
          <a:spLocks noChangeShapeType="1"/>
        </xdr:cNvSpPr>
      </xdr:nvSpPr>
      <xdr:spPr bwMode="auto">
        <a:xfrm flipH="1">
          <a:off x="6143044" y="5562600"/>
          <a:ext cx="2485" cy="232907"/>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oneCellAnchor>
    <xdr:from>
      <xdr:col>9</xdr:col>
      <xdr:colOff>607943</xdr:colOff>
      <xdr:row>25</xdr:row>
      <xdr:rowOff>134592</xdr:rowOff>
    </xdr:from>
    <xdr:ext cx="1615635" cy="189796"/>
    <xdr:sp macro="" textlink="">
      <xdr:nvSpPr>
        <xdr:cNvPr id="139" name="Text Box 160"/>
        <xdr:cNvSpPr txBox="1">
          <a:spLocks noChangeArrowheads="1"/>
        </xdr:cNvSpPr>
      </xdr:nvSpPr>
      <xdr:spPr bwMode="auto">
        <a:xfrm>
          <a:off x="7246868" y="5449542"/>
          <a:ext cx="1615635" cy="18979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mn-lt"/>
              <a:cs typeface="Arial"/>
            </a:rPr>
            <a:t>0.5~1.5mm</a:t>
          </a:r>
          <a:r>
            <a:rPr lang="zh-CN" altLang="en-US" sz="1000" b="0" i="0" u="none" strike="noStrike" baseline="0">
              <a:solidFill>
                <a:srgbClr val="000000"/>
              </a:solidFill>
              <a:latin typeface="+mn-lt"/>
              <a:cs typeface="Arial"/>
            </a:rPr>
            <a:t>阳极底部</a:t>
          </a:r>
          <a:r>
            <a:rPr lang="en-US" altLang="zh-CN" sz="1000" b="0" i="0" u="none" strike="noStrike" baseline="0">
              <a:solidFill>
                <a:srgbClr val="000000"/>
              </a:solidFill>
              <a:latin typeface="+mn-lt"/>
              <a:cs typeface="Arial"/>
            </a:rPr>
            <a:t>overhang</a:t>
          </a:r>
        </a:p>
      </xdr:txBody>
    </xdr:sp>
    <xdr:clientData/>
  </xdr:oneCellAnchor>
  <xdr:oneCellAnchor>
    <xdr:from>
      <xdr:col>1</xdr:col>
      <xdr:colOff>85725</xdr:colOff>
      <xdr:row>22</xdr:row>
      <xdr:rowOff>152400</xdr:rowOff>
    </xdr:from>
    <xdr:ext cx="389209" cy="170560"/>
    <xdr:sp macro="" textlink="">
      <xdr:nvSpPr>
        <xdr:cNvPr id="142" name="Text Box 169"/>
        <xdr:cNvSpPr txBox="1">
          <a:spLocks noChangeArrowheads="1"/>
        </xdr:cNvSpPr>
      </xdr:nvSpPr>
      <xdr:spPr bwMode="auto">
        <a:xfrm>
          <a:off x="323850" y="9582150"/>
          <a:ext cx="389209"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Anode</a:t>
          </a:r>
        </a:p>
      </xdr:txBody>
    </xdr:sp>
    <xdr:clientData/>
  </xdr:oneCellAnchor>
  <xdr:oneCellAnchor>
    <xdr:from>
      <xdr:col>1</xdr:col>
      <xdr:colOff>0</xdr:colOff>
      <xdr:row>18</xdr:row>
      <xdr:rowOff>180975</xdr:rowOff>
    </xdr:from>
    <xdr:ext cx="503215" cy="170560"/>
    <xdr:sp macro="" textlink="">
      <xdr:nvSpPr>
        <xdr:cNvPr id="144" name="Text Box 171"/>
        <xdr:cNvSpPr txBox="1">
          <a:spLocks noChangeArrowheads="1"/>
        </xdr:cNvSpPr>
      </xdr:nvSpPr>
      <xdr:spPr bwMode="auto">
        <a:xfrm>
          <a:off x="238125" y="8734425"/>
          <a:ext cx="503215"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Cathode</a:t>
          </a:r>
        </a:p>
      </xdr:txBody>
    </xdr:sp>
    <xdr:clientData/>
  </xdr:oneCellAnchor>
  <xdr:twoCellAnchor>
    <xdr:from>
      <xdr:col>1</xdr:col>
      <xdr:colOff>318468</xdr:colOff>
      <xdr:row>7</xdr:row>
      <xdr:rowOff>16565</xdr:rowOff>
    </xdr:from>
    <xdr:to>
      <xdr:col>12</xdr:col>
      <xdr:colOff>504825</xdr:colOff>
      <xdr:row>7</xdr:row>
      <xdr:rowOff>19050</xdr:rowOff>
    </xdr:to>
    <xdr:sp macro="" textlink="">
      <xdr:nvSpPr>
        <xdr:cNvPr id="145" name="Line 172"/>
        <xdr:cNvSpPr>
          <a:spLocks noChangeShapeType="1"/>
        </xdr:cNvSpPr>
      </xdr:nvSpPr>
      <xdr:spPr bwMode="auto">
        <a:xfrm>
          <a:off x="556593" y="6274490"/>
          <a:ext cx="8673132" cy="2485"/>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8</xdr:col>
      <xdr:colOff>594277</xdr:colOff>
      <xdr:row>13</xdr:row>
      <xdr:rowOff>167722</xdr:rowOff>
    </xdr:from>
    <xdr:to>
      <xdr:col>10</xdr:col>
      <xdr:colOff>600075</xdr:colOff>
      <xdr:row>13</xdr:row>
      <xdr:rowOff>171450</xdr:rowOff>
    </xdr:to>
    <xdr:sp macro="" textlink="">
      <xdr:nvSpPr>
        <xdr:cNvPr id="151" name="Line 180"/>
        <xdr:cNvSpPr>
          <a:spLocks noChangeShapeType="1"/>
        </xdr:cNvSpPr>
      </xdr:nvSpPr>
      <xdr:spPr bwMode="auto">
        <a:xfrm>
          <a:off x="6518827" y="7206697"/>
          <a:ext cx="1434548" cy="3728"/>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9522</xdr:colOff>
      <xdr:row>11</xdr:row>
      <xdr:rowOff>152400</xdr:rowOff>
    </xdr:from>
    <xdr:to>
      <xdr:col>11</xdr:col>
      <xdr:colOff>9522</xdr:colOff>
      <xdr:row>25</xdr:row>
      <xdr:rowOff>137160</xdr:rowOff>
    </xdr:to>
    <xdr:sp macro="" textlink="">
      <xdr:nvSpPr>
        <xdr:cNvPr id="153" name="Line 182"/>
        <xdr:cNvSpPr>
          <a:spLocks noChangeShapeType="1"/>
        </xdr:cNvSpPr>
      </xdr:nvSpPr>
      <xdr:spPr bwMode="auto">
        <a:xfrm>
          <a:off x="7225662" y="2415540"/>
          <a:ext cx="0" cy="294132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sp>
    <xdr:clientData/>
  </xdr:twoCellAnchor>
  <xdr:twoCellAnchor>
    <xdr:from>
      <xdr:col>10</xdr:col>
      <xdr:colOff>378942</xdr:colOff>
      <xdr:row>13</xdr:row>
      <xdr:rowOff>185448</xdr:rowOff>
    </xdr:from>
    <xdr:to>
      <xdr:col>10</xdr:col>
      <xdr:colOff>378942</xdr:colOff>
      <xdr:row>25</xdr:row>
      <xdr:rowOff>129540</xdr:rowOff>
    </xdr:to>
    <xdr:sp macro="" textlink="">
      <xdr:nvSpPr>
        <xdr:cNvPr id="156" name="Line 182"/>
        <xdr:cNvSpPr>
          <a:spLocks noChangeShapeType="1"/>
        </xdr:cNvSpPr>
      </xdr:nvSpPr>
      <xdr:spPr bwMode="auto">
        <a:xfrm>
          <a:off x="6977862" y="2844828"/>
          <a:ext cx="0" cy="2504412"/>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sp>
    <xdr:clientData/>
  </xdr:twoCellAnchor>
  <xdr:twoCellAnchor>
    <xdr:from>
      <xdr:col>9</xdr:col>
      <xdr:colOff>713083</xdr:colOff>
      <xdr:row>10</xdr:row>
      <xdr:rowOff>173935</xdr:rowOff>
    </xdr:from>
    <xdr:to>
      <xdr:col>11</xdr:col>
      <xdr:colOff>682487</xdr:colOff>
      <xdr:row>10</xdr:row>
      <xdr:rowOff>173943</xdr:rowOff>
    </xdr:to>
    <xdr:sp macro="" textlink="">
      <xdr:nvSpPr>
        <xdr:cNvPr id="159" name="Line 180"/>
        <xdr:cNvSpPr>
          <a:spLocks noChangeShapeType="1"/>
        </xdr:cNvSpPr>
      </xdr:nvSpPr>
      <xdr:spPr bwMode="auto">
        <a:xfrm flipV="1">
          <a:off x="7352008" y="6612835"/>
          <a:ext cx="1369579" cy="8"/>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10</xdr:col>
      <xdr:colOff>41413</xdr:colOff>
      <xdr:row>27</xdr:row>
      <xdr:rowOff>157377</xdr:rowOff>
    </xdr:from>
    <xdr:to>
      <xdr:col>12</xdr:col>
      <xdr:colOff>495300</xdr:colOff>
      <xdr:row>27</xdr:row>
      <xdr:rowOff>161924</xdr:rowOff>
    </xdr:to>
    <xdr:sp macro="" textlink="">
      <xdr:nvSpPr>
        <xdr:cNvPr id="160" name="Line 180"/>
        <xdr:cNvSpPr>
          <a:spLocks noChangeShapeType="1"/>
        </xdr:cNvSpPr>
      </xdr:nvSpPr>
      <xdr:spPr bwMode="auto">
        <a:xfrm>
          <a:off x="7394713" y="10244352"/>
          <a:ext cx="1825487" cy="4547"/>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576719</xdr:colOff>
      <xdr:row>11</xdr:row>
      <xdr:rowOff>7039</xdr:rowOff>
    </xdr:from>
    <xdr:to>
      <xdr:col>11</xdr:col>
      <xdr:colOff>576719</xdr:colOff>
      <xdr:row>27</xdr:row>
      <xdr:rowOff>152400</xdr:rowOff>
    </xdr:to>
    <xdr:sp macro="" textlink="">
      <xdr:nvSpPr>
        <xdr:cNvPr id="161" name="Line 182"/>
        <xdr:cNvSpPr>
          <a:spLocks noChangeShapeType="1"/>
        </xdr:cNvSpPr>
      </xdr:nvSpPr>
      <xdr:spPr bwMode="auto">
        <a:xfrm flipH="1">
          <a:off x="7792859" y="2270179"/>
          <a:ext cx="0" cy="3513401"/>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sp>
    <xdr:clientData/>
  </xdr:twoCellAnchor>
  <xdr:oneCellAnchor>
    <xdr:from>
      <xdr:col>10</xdr:col>
      <xdr:colOff>161925</xdr:colOff>
      <xdr:row>19</xdr:row>
      <xdr:rowOff>171449</xdr:rowOff>
    </xdr:from>
    <xdr:ext cx="238233" cy="211559"/>
    <xdr:sp macro="" textlink="">
      <xdr:nvSpPr>
        <xdr:cNvPr id="172" name="Text Box 179"/>
        <xdr:cNvSpPr txBox="1">
          <a:spLocks noChangeArrowheads="1"/>
        </xdr:cNvSpPr>
      </xdr:nvSpPr>
      <xdr:spPr bwMode="auto">
        <a:xfrm>
          <a:off x="7515225" y="8524874"/>
          <a:ext cx="238233" cy="211559"/>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vert270" wrap="square" lIns="18288" tIns="22860" rIns="0" bIns="0" anchor="ctr" upright="1">
          <a:noAutofit/>
        </a:bodyPr>
        <a:lstStyle/>
        <a:p>
          <a:pPr marL="0" marR="0" lvl="0" indent="0" algn="ctr"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mn-lt"/>
              <a:cs typeface="Arial"/>
            </a:rPr>
            <a:t>L1</a:t>
          </a:r>
        </a:p>
      </xdr:txBody>
    </xdr:sp>
    <xdr:clientData/>
  </xdr:oneCellAnchor>
  <xdr:oneCellAnchor>
    <xdr:from>
      <xdr:col>10</xdr:col>
      <xdr:colOff>432435</xdr:colOff>
      <xdr:row>18</xdr:row>
      <xdr:rowOff>123825</xdr:rowOff>
    </xdr:from>
    <xdr:ext cx="238233" cy="211559"/>
    <xdr:sp macro="" textlink="">
      <xdr:nvSpPr>
        <xdr:cNvPr id="173" name="Text Box 179"/>
        <xdr:cNvSpPr txBox="1">
          <a:spLocks noChangeArrowheads="1"/>
        </xdr:cNvSpPr>
      </xdr:nvSpPr>
      <xdr:spPr bwMode="auto">
        <a:xfrm>
          <a:off x="7031355" y="3850005"/>
          <a:ext cx="238233" cy="211559"/>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vert270" wrap="square" lIns="18288" tIns="22860" rIns="0" bIns="0" anchor="ctr" upright="1">
          <a:noAutofit/>
        </a:bodyPr>
        <a:lstStyle/>
        <a:p>
          <a:pPr marL="0" marR="0" lvl="0" indent="0" algn="ctr"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mn-lt"/>
              <a:cs typeface="Arial"/>
            </a:rPr>
            <a:t>L2</a:t>
          </a:r>
        </a:p>
      </xdr:txBody>
    </xdr:sp>
    <xdr:clientData/>
  </xdr:oneCellAnchor>
  <xdr:oneCellAnchor>
    <xdr:from>
      <xdr:col>11</xdr:col>
      <xdr:colOff>28575</xdr:colOff>
      <xdr:row>19</xdr:row>
      <xdr:rowOff>38101</xdr:rowOff>
    </xdr:from>
    <xdr:ext cx="266700" cy="221084"/>
    <xdr:sp macro="" textlink="">
      <xdr:nvSpPr>
        <xdr:cNvPr id="174" name="Text Box 179"/>
        <xdr:cNvSpPr txBox="1">
          <a:spLocks noChangeArrowheads="1"/>
        </xdr:cNvSpPr>
      </xdr:nvSpPr>
      <xdr:spPr bwMode="auto">
        <a:xfrm>
          <a:off x="8067675" y="8391526"/>
          <a:ext cx="266700" cy="221084"/>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vert270" wrap="square" lIns="18288" tIns="22860" rIns="0" bIns="0" anchor="ctr" upright="1">
          <a:noAutofit/>
        </a:bodyPr>
        <a:lstStyle/>
        <a:p>
          <a:pPr marL="0" marR="0" lvl="0" indent="0" algn="ctr"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mn-lt"/>
              <a:cs typeface="Arial"/>
            </a:rPr>
            <a:t>L3</a:t>
          </a:r>
        </a:p>
      </xdr:txBody>
    </xdr:sp>
    <xdr:clientData/>
  </xdr:oneCellAnchor>
  <xdr:oneCellAnchor>
    <xdr:from>
      <xdr:col>11</xdr:col>
      <xdr:colOff>381000</xdr:colOff>
      <xdr:row>18</xdr:row>
      <xdr:rowOff>171450</xdr:rowOff>
    </xdr:from>
    <xdr:ext cx="238233" cy="230609"/>
    <xdr:sp macro="" textlink="">
      <xdr:nvSpPr>
        <xdr:cNvPr id="175" name="Text Box 179"/>
        <xdr:cNvSpPr txBox="1">
          <a:spLocks noChangeArrowheads="1"/>
        </xdr:cNvSpPr>
      </xdr:nvSpPr>
      <xdr:spPr bwMode="auto">
        <a:xfrm>
          <a:off x="8420100" y="8305800"/>
          <a:ext cx="238233" cy="230609"/>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vert270" wrap="square" lIns="18288" tIns="22860" rIns="0" bIns="0" anchor="ctr" upright="1">
          <a:noAutofit/>
        </a:bodyPr>
        <a:lstStyle/>
        <a:p>
          <a:pPr marL="0" marR="0" lvl="0" indent="0" algn="ctr"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mn-lt"/>
              <a:cs typeface="Arial"/>
            </a:rPr>
            <a:t>L4</a:t>
          </a:r>
        </a:p>
      </xdr:txBody>
    </xdr:sp>
    <xdr:clientData/>
  </xdr:oneCellAnchor>
  <xdr:twoCellAnchor>
    <xdr:from>
      <xdr:col>2</xdr:col>
      <xdr:colOff>228600</xdr:colOff>
      <xdr:row>11</xdr:row>
      <xdr:rowOff>160021</xdr:rowOff>
    </xdr:from>
    <xdr:to>
      <xdr:col>8</xdr:col>
      <xdr:colOff>552450</xdr:colOff>
      <xdr:row>13</xdr:row>
      <xdr:rowOff>150495</xdr:rowOff>
    </xdr:to>
    <xdr:sp macro="" textlink="">
      <xdr:nvSpPr>
        <xdr:cNvPr id="176" name="矩形 175"/>
        <xdr:cNvSpPr/>
      </xdr:nvSpPr>
      <xdr:spPr>
        <a:xfrm>
          <a:off x="1059180" y="2423161"/>
          <a:ext cx="4812030" cy="386714"/>
        </a:xfrm>
        <a:prstGeom prst="rect">
          <a:avLst/>
        </a:prstGeom>
        <a:solidFill>
          <a:schemeClr val="bg1">
            <a:lumMod val="85000"/>
          </a:schemeClr>
        </a:solidFill>
        <a:ln>
          <a:solidFill>
            <a:schemeClr val="bg1">
              <a:lumMod val="8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2</xdr:col>
      <xdr:colOff>0</xdr:colOff>
      <xdr:row>12</xdr:row>
      <xdr:rowOff>123825</xdr:rowOff>
    </xdr:from>
    <xdr:to>
      <xdr:col>9</xdr:col>
      <xdr:colOff>0</xdr:colOff>
      <xdr:row>12</xdr:row>
      <xdr:rowOff>123825</xdr:rowOff>
    </xdr:to>
    <xdr:cxnSp macro="">
      <xdr:nvCxnSpPr>
        <xdr:cNvPr id="179" name="直接连接符 178"/>
        <xdr:cNvCxnSpPr/>
      </xdr:nvCxnSpPr>
      <xdr:spPr>
        <a:xfrm>
          <a:off x="923925" y="6962775"/>
          <a:ext cx="5715000" cy="0"/>
        </a:xfrm>
        <a:prstGeom prst="line">
          <a:avLst/>
        </a:prstGeom>
        <a:ln>
          <a:solidFill>
            <a:schemeClr val="accent6"/>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190500</xdr:colOff>
      <xdr:row>13</xdr:row>
      <xdr:rowOff>114300</xdr:rowOff>
    </xdr:from>
    <xdr:to>
      <xdr:col>8</xdr:col>
      <xdr:colOff>561975</xdr:colOff>
      <xdr:row>13</xdr:row>
      <xdr:rowOff>114300</xdr:rowOff>
    </xdr:to>
    <xdr:cxnSp macro="">
      <xdr:nvCxnSpPr>
        <xdr:cNvPr id="181" name="直接连接符 180"/>
        <xdr:cNvCxnSpPr/>
      </xdr:nvCxnSpPr>
      <xdr:spPr>
        <a:xfrm>
          <a:off x="1114425" y="7153275"/>
          <a:ext cx="5372100" cy="0"/>
        </a:xfrm>
        <a:prstGeom prst="line">
          <a:avLst/>
        </a:prstGeom>
        <a:ln>
          <a:solidFill>
            <a:schemeClr val="accent5"/>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561975</xdr:colOff>
      <xdr:row>11</xdr:row>
      <xdr:rowOff>152400</xdr:rowOff>
    </xdr:from>
    <xdr:to>
      <xdr:col>11</xdr:col>
      <xdr:colOff>114300</xdr:colOff>
      <xdr:row>11</xdr:row>
      <xdr:rowOff>152400</xdr:rowOff>
    </xdr:to>
    <xdr:sp macro="" textlink="">
      <xdr:nvSpPr>
        <xdr:cNvPr id="183" name="Line 172"/>
        <xdr:cNvSpPr>
          <a:spLocks noChangeShapeType="1"/>
        </xdr:cNvSpPr>
      </xdr:nvSpPr>
      <xdr:spPr bwMode="auto">
        <a:xfrm>
          <a:off x="5880735" y="2415540"/>
          <a:ext cx="144970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241023</xdr:colOff>
      <xdr:row>12</xdr:row>
      <xdr:rowOff>152401</xdr:rowOff>
    </xdr:from>
    <xdr:to>
      <xdr:col>11</xdr:col>
      <xdr:colOff>241023</xdr:colOff>
      <xdr:row>26</xdr:row>
      <xdr:rowOff>99061</xdr:rowOff>
    </xdr:to>
    <xdr:sp macro="" textlink="">
      <xdr:nvSpPr>
        <xdr:cNvPr id="185" name="Line 182"/>
        <xdr:cNvSpPr>
          <a:spLocks noChangeShapeType="1"/>
        </xdr:cNvSpPr>
      </xdr:nvSpPr>
      <xdr:spPr bwMode="auto">
        <a:xfrm flipH="1">
          <a:off x="7457163" y="2613661"/>
          <a:ext cx="0" cy="291846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sp>
    <xdr:clientData/>
  </xdr:twoCellAnchor>
  <xdr:twoCellAnchor>
    <xdr:from>
      <xdr:col>12</xdr:col>
      <xdr:colOff>441464</xdr:colOff>
      <xdr:row>7</xdr:row>
      <xdr:rowOff>66675</xdr:rowOff>
    </xdr:from>
    <xdr:to>
      <xdr:col>12</xdr:col>
      <xdr:colOff>441464</xdr:colOff>
      <xdr:row>27</xdr:row>
      <xdr:rowOff>160020</xdr:rowOff>
    </xdr:to>
    <xdr:sp macro="" textlink="">
      <xdr:nvSpPr>
        <xdr:cNvPr id="186" name="Line 182"/>
        <xdr:cNvSpPr>
          <a:spLocks noChangeShapeType="1"/>
        </xdr:cNvSpPr>
      </xdr:nvSpPr>
      <xdr:spPr bwMode="auto">
        <a:xfrm flipH="1">
          <a:off x="8274824" y="1537335"/>
          <a:ext cx="0" cy="4253865"/>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sp>
    <xdr:clientData/>
  </xdr:twoCellAnchor>
  <xdr:oneCellAnchor>
    <xdr:from>
      <xdr:col>15</xdr:col>
      <xdr:colOff>0</xdr:colOff>
      <xdr:row>21</xdr:row>
      <xdr:rowOff>0</xdr:rowOff>
    </xdr:from>
    <xdr:ext cx="666750" cy="200025"/>
    <xdr:sp macro="" textlink="">
      <xdr:nvSpPr>
        <xdr:cNvPr id="192" name="Text Box 179"/>
        <xdr:cNvSpPr txBox="1">
          <a:spLocks noChangeArrowheads="1"/>
        </xdr:cNvSpPr>
      </xdr:nvSpPr>
      <xdr:spPr bwMode="auto">
        <a:xfrm>
          <a:off x="10534650" y="8553450"/>
          <a:ext cx="666750" cy="200025"/>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horz" wrap="square" lIns="18288" tIns="22860" rIns="0" bIns="0" anchor="ctr" upright="1">
          <a:noAutofit/>
        </a:bodyPr>
        <a:lstStyle/>
        <a:p>
          <a:pPr marL="0" marR="0" lvl="0" indent="0" algn="l"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Calibri" pitchFamily="34" charset="0"/>
              <a:cs typeface="Arial"/>
            </a:rPr>
            <a:t>±0.5mm</a:t>
          </a:r>
        </a:p>
      </xdr:txBody>
    </xdr:sp>
    <xdr:clientData/>
  </xdr:oneCellAnchor>
  <xdr:oneCellAnchor>
    <xdr:from>
      <xdr:col>15</xdr:col>
      <xdr:colOff>0</xdr:colOff>
      <xdr:row>22</xdr:row>
      <xdr:rowOff>28575</xdr:rowOff>
    </xdr:from>
    <xdr:ext cx="666750" cy="200025"/>
    <xdr:sp macro="" textlink="">
      <xdr:nvSpPr>
        <xdr:cNvPr id="193" name="Text Box 179"/>
        <xdr:cNvSpPr txBox="1">
          <a:spLocks noChangeArrowheads="1"/>
        </xdr:cNvSpPr>
      </xdr:nvSpPr>
      <xdr:spPr bwMode="auto">
        <a:xfrm>
          <a:off x="10372725" y="7086600"/>
          <a:ext cx="666750" cy="200025"/>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horz" wrap="square" lIns="18288" tIns="22860" rIns="0" bIns="0" anchor="ctr" upright="1">
          <a:noAutofit/>
        </a:bodyPr>
        <a:lstStyle/>
        <a:p>
          <a:pPr marL="0" marR="0" lvl="0" indent="0" algn="l"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Calibri" pitchFamily="34" charset="0"/>
              <a:cs typeface="Arial"/>
            </a:rPr>
            <a:t>±0.5mm</a:t>
          </a:r>
        </a:p>
      </xdr:txBody>
    </xdr:sp>
    <xdr:clientData/>
  </xdr:oneCellAnchor>
  <xdr:oneCellAnchor>
    <xdr:from>
      <xdr:col>15</xdr:col>
      <xdr:colOff>0</xdr:colOff>
      <xdr:row>23</xdr:row>
      <xdr:rowOff>19050</xdr:rowOff>
    </xdr:from>
    <xdr:ext cx="666750" cy="200025"/>
    <xdr:sp macro="" textlink="">
      <xdr:nvSpPr>
        <xdr:cNvPr id="194" name="Text Box 179"/>
        <xdr:cNvSpPr txBox="1">
          <a:spLocks noChangeArrowheads="1"/>
        </xdr:cNvSpPr>
      </xdr:nvSpPr>
      <xdr:spPr bwMode="auto">
        <a:xfrm>
          <a:off x="10372725" y="7296150"/>
          <a:ext cx="666750" cy="200025"/>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horz" wrap="square" lIns="18288" tIns="22860" rIns="0" bIns="0" anchor="ctr" upright="1">
          <a:noAutofit/>
        </a:bodyPr>
        <a:lstStyle/>
        <a:p>
          <a:pPr marL="0" marR="0" lvl="0" indent="0" algn="l"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Calibri" pitchFamily="34" charset="0"/>
              <a:cs typeface="Arial"/>
            </a:rPr>
            <a:t>±0.5mm</a:t>
          </a:r>
        </a:p>
      </xdr:txBody>
    </xdr:sp>
    <xdr:clientData/>
  </xdr:oneCellAnchor>
  <xdr:oneCellAnchor>
    <xdr:from>
      <xdr:col>14</xdr:col>
      <xdr:colOff>409575</xdr:colOff>
      <xdr:row>24</xdr:row>
      <xdr:rowOff>9525</xdr:rowOff>
    </xdr:from>
    <xdr:ext cx="666750" cy="200025"/>
    <xdr:sp macro="" textlink="">
      <xdr:nvSpPr>
        <xdr:cNvPr id="195" name="Text Box 179"/>
        <xdr:cNvSpPr txBox="1">
          <a:spLocks noChangeArrowheads="1"/>
        </xdr:cNvSpPr>
      </xdr:nvSpPr>
      <xdr:spPr bwMode="auto">
        <a:xfrm>
          <a:off x="10668000" y="9096375"/>
          <a:ext cx="666750" cy="200025"/>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horz" wrap="square" lIns="18288" tIns="22860" rIns="0" bIns="0" anchor="ctr" upright="1">
          <a:noAutofit/>
        </a:bodyPr>
        <a:lstStyle/>
        <a:p>
          <a:pPr marL="0" marR="0" lvl="0" indent="0" algn="l"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Calibri" pitchFamily="34" charset="0"/>
              <a:cs typeface="Arial"/>
            </a:rPr>
            <a:t>±0.5mm</a:t>
          </a:r>
        </a:p>
      </xdr:txBody>
    </xdr:sp>
    <xdr:clientData/>
  </xdr:oneCellAnchor>
  <xdr:oneCellAnchor>
    <xdr:from>
      <xdr:col>12</xdr:col>
      <xdr:colOff>228600</xdr:colOff>
      <xdr:row>17</xdr:row>
      <xdr:rowOff>0</xdr:rowOff>
    </xdr:from>
    <xdr:ext cx="238233" cy="230609"/>
    <xdr:sp macro="" textlink="">
      <xdr:nvSpPr>
        <xdr:cNvPr id="196" name="Text Box 179"/>
        <xdr:cNvSpPr txBox="1">
          <a:spLocks noChangeArrowheads="1"/>
        </xdr:cNvSpPr>
      </xdr:nvSpPr>
      <xdr:spPr bwMode="auto">
        <a:xfrm>
          <a:off x="8953500" y="7915275"/>
          <a:ext cx="238233" cy="230609"/>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vert270" wrap="square" lIns="18288" tIns="22860" rIns="0" bIns="0" anchor="ctr" upright="1">
          <a:noAutofit/>
        </a:bodyPr>
        <a:lstStyle/>
        <a:p>
          <a:pPr marL="0" marR="0" lvl="0" indent="0" algn="ctr"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mn-lt"/>
              <a:cs typeface="Arial"/>
            </a:rPr>
            <a:t>L5</a:t>
          </a:r>
        </a:p>
      </xdr:txBody>
    </xdr:sp>
    <xdr:clientData/>
  </xdr:oneCellAnchor>
  <xdr:oneCellAnchor>
    <xdr:from>
      <xdr:col>15</xdr:col>
      <xdr:colOff>0</xdr:colOff>
      <xdr:row>25</xdr:row>
      <xdr:rowOff>38100</xdr:rowOff>
    </xdr:from>
    <xdr:ext cx="666750" cy="200025"/>
    <xdr:sp macro="" textlink="">
      <xdr:nvSpPr>
        <xdr:cNvPr id="197" name="Text Box 179"/>
        <xdr:cNvSpPr txBox="1">
          <a:spLocks noChangeArrowheads="1"/>
        </xdr:cNvSpPr>
      </xdr:nvSpPr>
      <xdr:spPr bwMode="auto">
        <a:xfrm>
          <a:off x="10372725" y="7753350"/>
          <a:ext cx="666750" cy="200025"/>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horz" wrap="square" lIns="18288" tIns="22860" rIns="0" bIns="0" anchor="ctr" upright="1">
          <a:noAutofit/>
        </a:bodyPr>
        <a:lstStyle/>
        <a:p>
          <a:pPr marL="0" marR="0" lvl="0" indent="0" algn="l"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Calibri" pitchFamily="34" charset="0"/>
              <a:cs typeface="Arial"/>
            </a:rPr>
            <a:t>±0.5mm</a:t>
          </a:r>
        </a:p>
      </xdr:txBody>
    </xdr:sp>
    <xdr:clientData/>
  </xdr:oneCellAnchor>
  <xdr:twoCellAnchor>
    <xdr:from>
      <xdr:col>1</xdr:col>
      <xdr:colOff>304800</xdr:colOff>
      <xdr:row>11</xdr:row>
      <xdr:rowOff>171450</xdr:rowOff>
    </xdr:from>
    <xdr:to>
      <xdr:col>2</xdr:col>
      <xdr:colOff>304800</xdr:colOff>
      <xdr:row>13</xdr:row>
      <xdr:rowOff>142875</xdr:rowOff>
    </xdr:to>
    <xdr:cxnSp macro="">
      <xdr:nvCxnSpPr>
        <xdr:cNvPr id="199" name="直接箭头连接符 198"/>
        <xdr:cNvCxnSpPr/>
      </xdr:nvCxnSpPr>
      <xdr:spPr>
        <a:xfrm flipH="1" flipV="1">
          <a:off x="542925" y="6848475"/>
          <a:ext cx="685800" cy="352425"/>
        </a:xfrm>
        <a:prstGeom prst="straightConnector1">
          <a:avLst/>
        </a:prstGeom>
        <a:ln>
          <a:solidFill>
            <a:sysClr val="windowText" lastClr="000000"/>
          </a:solidFill>
          <a:headEnd type="non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619125</xdr:colOff>
      <xdr:row>10</xdr:row>
      <xdr:rowOff>182218</xdr:rowOff>
    </xdr:from>
    <xdr:to>
      <xdr:col>9</xdr:col>
      <xdr:colOff>609600</xdr:colOff>
      <xdr:row>27</xdr:row>
      <xdr:rowOff>165652</xdr:rowOff>
    </xdr:to>
    <xdr:sp macro="" textlink="">
      <xdr:nvSpPr>
        <xdr:cNvPr id="124" name="Rectangle 140"/>
        <xdr:cNvSpPr>
          <a:spLocks noChangeArrowheads="1"/>
        </xdr:cNvSpPr>
      </xdr:nvSpPr>
      <xdr:spPr bwMode="auto">
        <a:xfrm>
          <a:off x="857250" y="6621118"/>
          <a:ext cx="6391275" cy="3631509"/>
        </a:xfrm>
        <a:prstGeom prst="rect">
          <a:avLst/>
        </a:prstGeom>
        <a:noFill/>
        <a:ln w="15875">
          <a:solidFill>
            <a:srgbClr xmlns:mc="http://schemas.openxmlformats.org/markup-compatibility/2006" xmlns:a14="http://schemas.microsoft.com/office/drawing/2010/main" val="000000" mc:Ignorable="a14" a14:legacySpreadsheetColorIndex="64"/>
          </a:solidFill>
          <a:prstDash val="dash"/>
          <a:miter lim="800000"/>
          <a:headEnd/>
          <a:tailEnd/>
        </a:ln>
      </xdr:spPr>
    </xdr:sp>
    <xdr:clientData/>
  </xdr:twoCellAnchor>
  <xdr:twoCellAnchor>
    <xdr:from>
      <xdr:col>9</xdr:col>
      <xdr:colOff>142875</xdr:colOff>
      <xdr:row>10</xdr:row>
      <xdr:rowOff>177165</xdr:rowOff>
    </xdr:from>
    <xdr:to>
      <xdr:col>9</xdr:col>
      <xdr:colOff>142876</xdr:colOff>
      <xdr:row>11</xdr:row>
      <xdr:rowOff>141045</xdr:rowOff>
    </xdr:to>
    <xdr:sp macro="" textlink="">
      <xdr:nvSpPr>
        <xdr:cNvPr id="149" name="Line 148"/>
        <xdr:cNvSpPr>
          <a:spLocks noChangeShapeType="1"/>
        </xdr:cNvSpPr>
      </xdr:nvSpPr>
      <xdr:spPr bwMode="auto">
        <a:xfrm flipH="1">
          <a:off x="6101715" y="2242185"/>
          <a:ext cx="1" cy="16200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twoCellAnchor>
    <xdr:from>
      <xdr:col>9</xdr:col>
      <xdr:colOff>190500</xdr:colOff>
      <xdr:row>12</xdr:row>
      <xdr:rowOff>133350</xdr:rowOff>
    </xdr:from>
    <xdr:to>
      <xdr:col>9</xdr:col>
      <xdr:colOff>192985</xdr:colOff>
      <xdr:row>13</xdr:row>
      <xdr:rowOff>168137</xdr:rowOff>
    </xdr:to>
    <xdr:sp macro="" textlink="">
      <xdr:nvSpPr>
        <xdr:cNvPr id="150" name="Line 158"/>
        <xdr:cNvSpPr>
          <a:spLocks noChangeShapeType="1"/>
        </xdr:cNvSpPr>
      </xdr:nvSpPr>
      <xdr:spPr bwMode="auto">
        <a:xfrm flipH="1">
          <a:off x="6829425" y="6972300"/>
          <a:ext cx="2485" cy="234812"/>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oneCellAnchor>
    <xdr:from>
      <xdr:col>9</xdr:col>
      <xdr:colOff>609600</xdr:colOff>
      <xdr:row>26</xdr:row>
      <xdr:rowOff>180975</xdr:rowOff>
    </xdr:from>
    <xdr:ext cx="1615635" cy="189796"/>
    <xdr:sp macro="" textlink="">
      <xdr:nvSpPr>
        <xdr:cNvPr id="152" name="Text Box 160"/>
        <xdr:cNvSpPr txBox="1">
          <a:spLocks noChangeArrowheads="1"/>
        </xdr:cNvSpPr>
      </xdr:nvSpPr>
      <xdr:spPr bwMode="auto">
        <a:xfrm>
          <a:off x="7248525" y="5715000"/>
          <a:ext cx="1615635" cy="18979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mn-lt"/>
              <a:cs typeface="Arial"/>
            </a:rPr>
            <a:t>1.0~2.0mm</a:t>
          </a:r>
          <a:r>
            <a:rPr lang="zh-CN" altLang="en-US" sz="1000" b="0" i="0" u="none" strike="noStrike" baseline="0">
              <a:solidFill>
                <a:srgbClr val="000000"/>
              </a:solidFill>
              <a:latin typeface="+mn-lt"/>
              <a:cs typeface="Arial"/>
            </a:rPr>
            <a:t>隔膜底部</a:t>
          </a:r>
          <a:r>
            <a:rPr lang="en-US" altLang="zh-CN" sz="1000" b="0" i="0" u="none" strike="noStrike" baseline="0">
              <a:solidFill>
                <a:srgbClr val="000000"/>
              </a:solidFill>
              <a:latin typeface="+mn-lt"/>
              <a:cs typeface="Arial"/>
            </a:rPr>
            <a:t>overhang</a:t>
          </a:r>
        </a:p>
      </xdr:txBody>
    </xdr:sp>
    <xdr:clientData/>
  </xdr:oneCellAnchor>
  <xdr:twoCellAnchor>
    <xdr:from>
      <xdr:col>1</xdr:col>
      <xdr:colOff>228600</xdr:colOff>
      <xdr:row>16</xdr:row>
      <xdr:rowOff>38100</xdr:rowOff>
    </xdr:from>
    <xdr:to>
      <xdr:col>1</xdr:col>
      <xdr:colOff>619125</xdr:colOff>
      <xdr:row>17</xdr:row>
      <xdr:rowOff>19050</xdr:rowOff>
    </xdr:to>
    <xdr:cxnSp macro="">
      <xdr:nvCxnSpPr>
        <xdr:cNvPr id="155" name="直接箭头连接符 154"/>
        <xdr:cNvCxnSpPr/>
      </xdr:nvCxnSpPr>
      <xdr:spPr>
        <a:xfrm flipH="1" flipV="1">
          <a:off x="466725" y="8153400"/>
          <a:ext cx="390525" cy="200025"/>
        </a:xfrm>
        <a:prstGeom prst="straightConnector1">
          <a:avLst/>
        </a:prstGeom>
        <a:ln>
          <a:solidFill>
            <a:sysClr val="windowText" lastClr="000000"/>
          </a:solidFill>
          <a:prstDash val="sysDash"/>
          <a:headEnd type="non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304800</xdr:colOff>
      <xdr:row>19</xdr:row>
      <xdr:rowOff>190500</xdr:rowOff>
    </xdr:from>
    <xdr:to>
      <xdr:col>2</xdr:col>
      <xdr:colOff>304800</xdr:colOff>
      <xdr:row>21</xdr:row>
      <xdr:rowOff>114300</xdr:rowOff>
    </xdr:to>
    <xdr:cxnSp macro="">
      <xdr:nvCxnSpPr>
        <xdr:cNvPr id="157" name="直接箭头连接符 156"/>
        <xdr:cNvCxnSpPr/>
      </xdr:nvCxnSpPr>
      <xdr:spPr>
        <a:xfrm flipH="1" flipV="1">
          <a:off x="542925" y="8543925"/>
          <a:ext cx="685800" cy="361950"/>
        </a:xfrm>
        <a:prstGeom prst="straightConnector1">
          <a:avLst/>
        </a:prstGeom>
        <a:ln w="12700">
          <a:solidFill>
            <a:schemeClr val="accent5"/>
          </a:solidFill>
          <a:headEnd type="non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285750</xdr:colOff>
      <xdr:row>23</xdr:row>
      <xdr:rowOff>152400</xdr:rowOff>
    </xdr:from>
    <xdr:to>
      <xdr:col>1</xdr:col>
      <xdr:colOff>676275</xdr:colOff>
      <xdr:row>24</xdr:row>
      <xdr:rowOff>133350</xdr:rowOff>
    </xdr:to>
    <xdr:cxnSp macro="">
      <xdr:nvCxnSpPr>
        <xdr:cNvPr id="158" name="直接箭头连接符 157"/>
        <xdr:cNvCxnSpPr/>
      </xdr:nvCxnSpPr>
      <xdr:spPr>
        <a:xfrm flipH="1" flipV="1">
          <a:off x="523875" y="9382125"/>
          <a:ext cx="390525" cy="200025"/>
        </a:xfrm>
        <a:prstGeom prst="straightConnector1">
          <a:avLst/>
        </a:prstGeom>
        <a:ln w="12700">
          <a:solidFill>
            <a:schemeClr val="accent6"/>
          </a:solidFill>
          <a:headEnd type="non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19049</xdr:colOff>
      <xdr:row>54</xdr:row>
      <xdr:rowOff>19049</xdr:rowOff>
    </xdr:from>
    <xdr:ext cx="1400175" cy="189796"/>
    <xdr:sp macro="" textlink="">
      <xdr:nvSpPr>
        <xdr:cNvPr id="165" name="Text Box 386"/>
        <xdr:cNvSpPr txBox="1">
          <a:spLocks noChangeArrowheads="1"/>
        </xdr:cNvSpPr>
      </xdr:nvSpPr>
      <xdr:spPr bwMode="auto">
        <a:xfrm>
          <a:off x="4533899" y="11210924"/>
          <a:ext cx="1400175" cy="18979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squar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r>
            <a:rPr lang="zh-CN" altLang="en-US" sz="1000" b="0" i="0" u="none" strike="noStrike" baseline="0">
              <a:solidFill>
                <a:srgbClr val="000000"/>
              </a:solidFill>
              <a:latin typeface="Arial"/>
              <a:cs typeface="Arial"/>
            </a:rPr>
            <a:t>阳极膜上极耳</a:t>
          </a:r>
          <a:endParaRPr lang="en-US" altLang="zh-CN" sz="1000" b="0" i="0" u="none" strike="noStrike" baseline="0">
            <a:solidFill>
              <a:srgbClr val="000000"/>
            </a:solidFill>
            <a:latin typeface="Arial"/>
            <a:cs typeface="Arial"/>
          </a:endParaRPr>
        </a:p>
      </xdr:txBody>
    </xdr:sp>
    <xdr:clientData/>
  </xdr:oneCellAnchor>
  <xdr:twoCellAnchor>
    <xdr:from>
      <xdr:col>9</xdr:col>
      <xdr:colOff>520065</xdr:colOff>
      <xdr:row>112</xdr:row>
      <xdr:rowOff>23812</xdr:rowOff>
    </xdr:from>
    <xdr:to>
      <xdr:col>9</xdr:col>
      <xdr:colOff>606840</xdr:colOff>
      <xdr:row>113</xdr:row>
      <xdr:rowOff>11403</xdr:rowOff>
    </xdr:to>
    <xdr:sp macro="" textlink="">
      <xdr:nvSpPr>
        <xdr:cNvPr id="223" name="Text Box 384"/>
        <xdr:cNvSpPr txBox="1">
          <a:spLocks noChangeArrowheads="1"/>
        </xdr:cNvSpPr>
      </xdr:nvSpPr>
      <xdr:spPr bwMode="auto">
        <a:xfrm>
          <a:off x="6478905" y="22579012"/>
          <a:ext cx="86775" cy="185711"/>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noAutofit/>
        </a:bodyPr>
        <a:lstStyle/>
        <a:p>
          <a:pPr algn="l" rtl="0">
            <a:defRPr sz="1000"/>
          </a:pPr>
          <a:r>
            <a:rPr lang="en-US" altLang="zh-CN" sz="1000" b="0" i="0" u="none" strike="noStrike" baseline="0">
              <a:solidFill>
                <a:srgbClr val="000000"/>
              </a:solidFill>
              <a:latin typeface="Arial"/>
              <a:cs typeface="Arial"/>
            </a:rPr>
            <a:t>L3</a:t>
          </a:r>
        </a:p>
      </xdr:txBody>
    </xdr:sp>
    <xdr:clientData/>
  </xdr:twoCellAnchor>
  <xdr:twoCellAnchor>
    <xdr:from>
      <xdr:col>1</xdr:col>
      <xdr:colOff>0</xdr:colOff>
      <xdr:row>78</xdr:row>
      <xdr:rowOff>5714</xdr:rowOff>
    </xdr:from>
    <xdr:to>
      <xdr:col>9</xdr:col>
      <xdr:colOff>350520</xdr:colOff>
      <xdr:row>90</xdr:row>
      <xdr:rowOff>22860</xdr:rowOff>
    </xdr:to>
    <xdr:grpSp>
      <xdr:nvGrpSpPr>
        <xdr:cNvPr id="239" name="组合 238"/>
        <xdr:cNvGrpSpPr/>
      </xdr:nvGrpSpPr>
      <xdr:grpSpPr>
        <a:xfrm>
          <a:off x="238125" y="16055339"/>
          <a:ext cx="6751320" cy="2417446"/>
          <a:chOff x="238125" y="19573874"/>
          <a:chExt cx="6819900" cy="2095501"/>
        </a:xfrm>
      </xdr:grpSpPr>
      <xdr:sp macro="" textlink="">
        <xdr:nvSpPr>
          <xdr:cNvPr id="28" name="Rectangle 410"/>
          <xdr:cNvSpPr>
            <a:spLocks noChangeArrowheads="1"/>
          </xdr:cNvSpPr>
        </xdr:nvSpPr>
        <xdr:spPr bwMode="auto">
          <a:xfrm>
            <a:off x="285750" y="20012025"/>
            <a:ext cx="6743700" cy="1247775"/>
          </a:xfrm>
          <a:prstGeom prst="rect">
            <a:avLst/>
          </a:prstGeom>
          <a:solidFill>
            <a:srgbClr xmlns:mc="http://schemas.openxmlformats.org/markup-compatibility/2006" xmlns:a14="http://schemas.microsoft.com/office/drawing/2010/main" val="000000" mc:Ignorable="a14" a14:legacySpreadsheetColorIndex="8"/>
          </a:solidFill>
          <a:ln w="9525">
            <a:solidFill>
              <a:srgbClr xmlns:mc="http://schemas.openxmlformats.org/markup-compatibility/2006" xmlns:a14="http://schemas.microsoft.com/office/drawing/2010/main" val="000000" mc:Ignorable="a14" a14:legacySpreadsheetColorIndex="64"/>
            </a:solidFill>
            <a:miter lim="800000"/>
            <a:headEnd/>
            <a:tailEnd/>
          </a:ln>
        </xdr:spPr>
      </xdr:sp>
      <xdr:sp macro="" textlink="">
        <xdr:nvSpPr>
          <xdr:cNvPr id="29" name="Rectangle 411"/>
          <xdr:cNvSpPr>
            <a:spLocks noChangeArrowheads="1"/>
          </xdr:cNvSpPr>
        </xdr:nvSpPr>
        <xdr:spPr bwMode="auto">
          <a:xfrm>
            <a:off x="285749" y="21250276"/>
            <a:ext cx="6743701" cy="419099"/>
          </a:xfrm>
          <a:prstGeom prst="rect">
            <a:avLst/>
          </a:prstGeom>
          <a:solidFill>
            <a:srgbClr xmlns:mc="http://schemas.openxmlformats.org/markup-compatibility/2006" xmlns:a14="http://schemas.microsoft.com/office/drawing/2010/main" val="CCFFFF" mc:Ignorable="a14" a14:legacySpreadsheetColorIndex="41"/>
          </a:solidFill>
          <a:ln w="9525">
            <a:solidFill>
              <a:srgbClr xmlns:mc="http://schemas.openxmlformats.org/markup-compatibility/2006" xmlns:a14="http://schemas.microsoft.com/office/drawing/2010/main" val="000000" mc:Ignorable="a14" a14:legacySpreadsheetColorIndex="64"/>
            </a:solidFill>
            <a:miter lim="800000"/>
            <a:headEnd/>
            <a:tailEnd/>
          </a:ln>
        </xdr:spPr>
      </xdr:sp>
      <xdr:sp macro="" textlink="">
        <xdr:nvSpPr>
          <xdr:cNvPr id="30" name="Rectangle 412"/>
          <xdr:cNvSpPr>
            <a:spLocks noChangeArrowheads="1"/>
          </xdr:cNvSpPr>
        </xdr:nvSpPr>
        <xdr:spPr bwMode="auto">
          <a:xfrm>
            <a:off x="285750" y="19573874"/>
            <a:ext cx="6743700" cy="447676"/>
          </a:xfrm>
          <a:prstGeom prst="rect">
            <a:avLst/>
          </a:prstGeom>
          <a:solidFill>
            <a:srgbClr xmlns:mc="http://schemas.openxmlformats.org/markup-compatibility/2006" xmlns:a14="http://schemas.microsoft.com/office/drawing/2010/main" val="CCFFFF" mc:Ignorable="a14" a14:legacySpreadsheetColorIndex="41"/>
          </a:solidFill>
          <a:ln w="9525">
            <a:solidFill>
              <a:srgbClr xmlns:mc="http://schemas.openxmlformats.org/markup-compatibility/2006" xmlns:a14="http://schemas.microsoft.com/office/drawing/2010/main" val="000000" mc:Ignorable="a14" a14:legacySpreadsheetColorIndex="64"/>
            </a:solidFill>
            <a:miter lim="800000"/>
            <a:headEnd/>
            <a:tailEnd/>
          </a:ln>
        </xdr:spPr>
      </xdr:sp>
      <xdr:sp macro="" textlink="">
        <xdr:nvSpPr>
          <xdr:cNvPr id="23" name="矩形 22"/>
          <xdr:cNvSpPr/>
        </xdr:nvSpPr>
        <xdr:spPr bwMode="auto">
          <a:xfrm>
            <a:off x="285750" y="21174075"/>
            <a:ext cx="6743700" cy="142875"/>
          </a:xfrm>
          <a:prstGeom prst="rect">
            <a:avLst/>
          </a:prstGeom>
          <a:solidFill>
            <a:schemeClr val="bg1">
              <a:lumMod val="85000"/>
            </a:schemeClr>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27" name="矩形 226"/>
          <xdr:cNvSpPr/>
        </xdr:nvSpPr>
        <xdr:spPr bwMode="auto">
          <a:xfrm>
            <a:off x="285750" y="19935825"/>
            <a:ext cx="6743700" cy="142875"/>
          </a:xfrm>
          <a:prstGeom prst="rect">
            <a:avLst/>
          </a:prstGeom>
          <a:solidFill>
            <a:schemeClr val="bg1">
              <a:lumMod val="85000"/>
            </a:schemeClr>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cxnSp macro="">
        <xdr:nvCxnSpPr>
          <xdr:cNvPr id="229" name="直接连接符 228"/>
          <xdr:cNvCxnSpPr/>
        </xdr:nvCxnSpPr>
        <xdr:spPr>
          <a:xfrm flipV="1">
            <a:off x="238125" y="21245513"/>
            <a:ext cx="6781800" cy="14287"/>
          </a:xfrm>
          <a:prstGeom prst="line">
            <a:avLst/>
          </a:prstGeom>
          <a:ln>
            <a:solidFill>
              <a:sysClr val="windowText" lastClr="000000"/>
            </a:solidFill>
            <a:prstDash val="dash"/>
          </a:ln>
        </xdr:spPr>
        <xdr:style>
          <a:lnRef idx="1">
            <a:schemeClr val="accent1"/>
          </a:lnRef>
          <a:fillRef idx="0">
            <a:schemeClr val="accent1"/>
          </a:fillRef>
          <a:effectRef idx="0">
            <a:schemeClr val="accent1"/>
          </a:effectRef>
          <a:fontRef idx="minor">
            <a:schemeClr val="tx1"/>
          </a:fontRef>
        </xdr:style>
      </xdr:cxnSp>
      <xdr:cxnSp macro="">
        <xdr:nvCxnSpPr>
          <xdr:cNvPr id="231" name="直接连接符 230"/>
          <xdr:cNvCxnSpPr/>
        </xdr:nvCxnSpPr>
        <xdr:spPr>
          <a:xfrm flipV="1">
            <a:off x="276225" y="20012025"/>
            <a:ext cx="6781800" cy="14287"/>
          </a:xfrm>
          <a:prstGeom prst="line">
            <a:avLst/>
          </a:prstGeom>
          <a:ln>
            <a:solidFill>
              <a:sysClr val="windowText" lastClr="000000"/>
            </a:solidFill>
            <a:prstDash val="dash"/>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19050</xdr:colOff>
      <xdr:row>111</xdr:row>
      <xdr:rowOff>123825</xdr:rowOff>
    </xdr:from>
    <xdr:to>
      <xdr:col>9</xdr:col>
      <xdr:colOff>628650</xdr:colOff>
      <xdr:row>117</xdr:row>
      <xdr:rowOff>9544</xdr:rowOff>
    </xdr:to>
    <xdr:grpSp>
      <xdr:nvGrpSpPr>
        <xdr:cNvPr id="54" name="组合 53"/>
        <xdr:cNvGrpSpPr/>
      </xdr:nvGrpSpPr>
      <xdr:grpSpPr>
        <a:xfrm>
          <a:off x="257175" y="22774275"/>
          <a:ext cx="7010400" cy="1085869"/>
          <a:chOff x="257175" y="19545300"/>
          <a:chExt cx="7010400" cy="1085869"/>
        </a:xfrm>
      </xdr:grpSpPr>
      <xdr:sp macro="" textlink="">
        <xdr:nvSpPr>
          <xdr:cNvPr id="218" name="Line 377"/>
          <xdr:cNvSpPr>
            <a:spLocks noChangeShapeType="1"/>
          </xdr:cNvSpPr>
        </xdr:nvSpPr>
        <xdr:spPr bwMode="auto">
          <a:xfrm>
            <a:off x="7058025" y="19916794"/>
            <a:ext cx="1809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219" name="Line 381"/>
          <xdr:cNvSpPr>
            <a:spLocks noChangeShapeType="1"/>
          </xdr:cNvSpPr>
        </xdr:nvSpPr>
        <xdr:spPr bwMode="auto">
          <a:xfrm>
            <a:off x="7210425" y="19935845"/>
            <a:ext cx="0" cy="676274"/>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sp macro="" textlink="">
        <xdr:nvSpPr>
          <xdr:cNvPr id="221" name="Line 379"/>
          <xdr:cNvSpPr>
            <a:spLocks noChangeShapeType="1"/>
          </xdr:cNvSpPr>
        </xdr:nvSpPr>
        <xdr:spPr bwMode="auto">
          <a:xfrm>
            <a:off x="7048500" y="19574827"/>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222" name="Line 382"/>
          <xdr:cNvSpPr>
            <a:spLocks noChangeShapeType="1"/>
          </xdr:cNvSpPr>
        </xdr:nvSpPr>
        <xdr:spPr bwMode="auto">
          <a:xfrm>
            <a:off x="7134225" y="19583400"/>
            <a:ext cx="0" cy="3238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sp macro="" textlink="">
        <xdr:nvSpPr>
          <xdr:cNvPr id="224" name="Line 379"/>
          <xdr:cNvSpPr>
            <a:spLocks noChangeShapeType="1"/>
          </xdr:cNvSpPr>
        </xdr:nvSpPr>
        <xdr:spPr bwMode="auto">
          <a:xfrm>
            <a:off x="7077075" y="20631169"/>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grpSp>
        <xdr:nvGrpSpPr>
          <xdr:cNvPr id="237" name="组合 236"/>
          <xdr:cNvGrpSpPr/>
        </xdr:nvGrpSpPr>
        <xdr:grpSpPr>
          <a:xfrm>
            <a:off x="257175" y="19545300"/>
            <a:ext cx="6762750" cy="1085851"/>
            <a:chOff x="257175" y="24917400"/>
            <a:chExt cx="6762750" cy="1085851"/>
          </a:xfrm>
        </xdr:grpSpPr>
        <xdr:sp macro="" textlink="">
          <xdr:nvSpPr>
            <xdr:cNvPr id="208" name="Rectangle 410"/>
            <xdr:cNvSpPr>
              <a:spLocks noChangeArrowheads="1"/>
            </xdr:cNvSpPr>
          </xdr:nvSpPr>
          <xdr:spPr bwMode="auto">
            <a:xfrm>
              <a:off x="257175" y="25298403"/>
              <a:ext cx="6753225" cy="704848"/>
            </a:xfrm>
            <a:prstGeom prst="rect">
              <a:avLst/>
            </a:prstGeom>
            <a:solidFill>
              <a:srgbClr xmlns:mc="http://schemas.openxmlformats.org/markup-compatibility/2006" xmlns:a14="http://schemas.microsoft.com/office/drawing/2010/main" val="000000" mc:Ignorable="a14" a14:legacySpreadsheetColorIndex="8"/>
            </a:solidFill>
            <a:ln w="9525">
              <a:solidFill>
                <a:srgbClr xmlns:mc="http://schemas.openxmlformats.org/markup-compatibility/2006" xmlns:a14="http://schemas.microsoft.com/office/drawing/2010/main" val="000000" mc:Ignorable="a14" a14:legacySpreadsheetColorIndex="64"/>
              </a:solidFill>
              <a:miter lim="800000"/>
              <a:headEnd/>
              <a:tailEnd/>
            </a:ln>
          </xdr:spPr>
        </xdr:sp>
        <xdr:grpSp>
          <xdr:nvGrpSpPr>
            <xdr:cNvPr id="209" name="组合 208"/>
            <xdr:cNvGrpSpPr/>
          </xdr:nvGrpSpPr>
          <xdr:grpSpPr>
            <a:xfrm>
              <a:off x="5410200" y="24917400"/>
              <a:ext cx="466725" cy="371476"/>
              <a:chOff x="5381625" y="22231349"/>
              <a:chExt cx="466725" cy="371476"/>
            </a:xfrm>
          </xdr:grpSpPr>
          <xdr:sp macro="" textlink="">
            <xdr:nvSpPr>
              <xdr:cNvPr id="216"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217" name="矩形 216"/>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210" name="组合 209"/>
            <xdr:cNvGrpSpPr/>
          </xdr:nvGrpSpPr>
          <xdr:grpSpPr>
            <a:xfrm>
              <a:off x="3448050" y="24917401"/>
              <a:ext cx="466725" cy="371476"/>
              <a:chOff x="5381625" y="22231349"/>
              <a:chExt cx="466725" cy="371476"/>
            </a:xfrm>
          </xdr:grpSpPr>
          <xdr:sp macro="" textlink="">
            <xdr:nvSpPr>
              <xdr:cNvPr id="214"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215" name="矩形 214"/>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211" name="组合 210"/>
            <xdr:cNvGrpSpPr/>
          </xdr:nvGrpSpPr>
          <xdr:grpSpPr>
            <a:xfrm>
              <a:off x="1047750" y="24917401"/>
              <a:ext cx="466725" cy="371476"/>
              <a:chOff x="5381625" y="22231349"/>
              <a:chExt cx="466725" cy="371476"/>
            </a:xfrm>
          </xdr:grpSpPr>
          <xdr:sp macro="" textlink="">
            <xdr:nvSpPr>
              <xdr:cNvPr id="212"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213" name="矩形 212"/>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cxnSp macro="">
          <xdr:nvCxnSpPr>
            <xdr:cNvPr id="233" name="直接连接符 232"/>
            <xdr:cNvCxnSpPr/>
          </xdr:nvCxnSpPr>
          <xdr:spPr>
            <a:xfrm>
              <a:off x="257175" y="25326975"/>
              <a:ext cx="6762750" cy="0"/>
            </a:xfrm>
            <a:prstGeom prst="line">
              <a:avLst/>
            </a:prstGeom>
            <a:ln w="571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0</xdr:col>
      <xdr:colOff>228600</xdr:colOff>
      <xdr:row>99</xdr:row>
      <xdr:rowOff>38099</xdr:rowOff>
    </xdr:from>
    <xdr:to>
      <xdr:col>9</xdr:col>
      <xdr:colOff>352425</xdr:colOff>
      <xdr:row>109</xdr:row>
      <xdr:rowOff>190501</xdr:rowOff>
    </xdr:to>
    <xdr:grpSp>
      <xdr:nvGrpSpPr>
        <xdr:cNvPr id="238" name="组合 237"/>
        <xdr:cNvGrpSpPr/>
      </xdr:nvGrpSpPr>
      <xdr:grpSpPr>
        <a:xfrm>
          <a:off x="228600" y="20288249"/>
          <a:ext cx="6762750" cy="2152652"/>
          <a:chOff x="228600" y="22231349"/>
          <a:chExt cx="6762750" cy="2152652"/>
        </a:xfrm>
      </xdr:grpSpPr>
      <xdr:sp macro="" textlink="">
        <xdr:nvSpPr>
          <xdr:cNvPr id="42" name="Rectangle 410"/>
          <xdr:cNvSpPr>
            <a:spLocks noChangeArrowheads="1"/>
          </xdr:cNvSpPr>
        </xdr:nvSpPr>
        <xdr:spPr bwMode="auto">
          <a:xfrm>
            <a:off x="228600" y="22612352"/>
            <a:ext cx="6753225" cy="704848"/>
          </a:xfrm>
          <a:prstGeom prst="rect">
            <a:avLst/>
          </a:prstGeom>
          <a:solidFill>
            <a:srgbClr xmlns:mc="http://schemas.openxmlformats.org/markup-compatibility/2006" xmlns:a14="http://schemas.microsoft.com/office/drawing/2010/main" val="000000" mc:Ignorable="a14" a14:legacySpreadsheetColorIndex="8"/>
          </a:solidFill>
          <a:ln w="9525">
            <a:solidFill>
              <a:srgbClr xmlns:mc="http://schemas.openxmlformats.org/markup-compatibility/2006" xmlns:a14="http://schemas.microsoft.com/office/drawing/2010/main" val="000000" mc:Ignorable="a14" a14:legacySpreadsheetColorIndex="64"/>
            </a:solidFill>
            <a:miter lim="800000"/>
            <a:headEnd/>
            <a:tailEnd/>
          </a:ln>
        </xdr:spPr>
      </xdr:sp>
      <xdr:grpSp>
        <xdr:nvGrpSpPr>
          <xdr:cNvPr id="20" name="组合 19"/>
          <xdr:cNvGrpSpPr/>
        </xdr:nvGrpSpPr>
        <xdr:grpSpPr>
          <a:xfrm>
            <a:off x="5381625" y="22231349"/>
            <a:ext cx="466725" cy="371476"/>
            <a:chOff x="5381625" y="22231349"/>
            <a:chExt cx="466725" cy="371476"/>
          </a:xfrm>
        </xdr:grpSpPr>
        <xdr:sp macro="" textlink="">
          <xdr:nvSpPr>
            <xdr:cNvPr id="43"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19" name="矩形 18"/>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167" name="组合 166"/>
          <xdr:cNvGrpSpPr/>
        </xdr:nvGrpSpPr>
        <xdr:grpSpPr>
          <a:xfrm>
            <a:off x="3419475" y="22231350"/>
            <a:ext cx="466725" cy="371476"/>
            <a:chOff x="5381625" y="22231349"/>
            <a:chExt cx="466725" cy="371476"/>
          </a:xfrm>
        </xdr:grpSpPr>
        <xdr:sp macro="" textlink="">
          <xdr:nvSpPr>
            <xdr:cNvPr id="170"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171" name="矩形 170"/>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182" name="组合 181"/>
          <xdr:cNvGrpSpPr/>
        </xdr:nvGrpSpPr>
        <xdr:grpSpPr>
          <a:xfrm>
            <a:off x="1019175" y="22231350"/>
            <a:ext cx="466725" cy="371476"/>
            <a:chOff x="5381625" y="22231349"/>
            <a:chExt cx="466725" cy="371476"/>
          </a:xfrm>
        </xdr:grpSpPr>
        <xdr:sp macro="" textlink="">
          <xdr:nvSpPr>
            <xdr:cNvPr id="184"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188" name="矩形 187"/>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sp macro="" textlink="">
        <xdr:nvSpPr>
          <xdr:cNvPr id="190" name="Rectangle 410"/>
          <xdr:cNvSpPr>
            <a:spLocks noChangeArrowheads="1"/>
          </xdr:cNvSpPr>
        </xdr:nvSpPr>
        <xdr:spPr bwMode="auto">
          <a:xfrm rot="10800000">
            <a:off x="228600" y="23298150"/>
            <a:ext cx="6753225" cy="704848"/>
          </a:xfrm>
          <a:prstGeom prst="rect">
            <a:avLst/>
          </a:prstGeom>
          <a:solidFill>
            <a:srgbClr xmlns:mc="http://schemas.openxmlformats.org/markup-compatibility/2006" xmlns:a14="http://schemas.microsoft.com/office/drawing/2010/main" val="000000" mc:Ignorable="a14" a14:legacySpreadsheetColorIndex="8"/>
          </a:solidFill>
          <a:ln w="9525">
            <a:solidFill>
              <a:srgbClr xmlns:mc="http://schemas.openxmlformats.org/markup-compatibility/2006" xmlns:a14="http://schemas.microsoft.com/office/drawing/2010/main" val="000000" mc:Ignorable="a14" a14:legacySpreadsheetColorIndex="64"/>
            </a:solidFill>
            <a:miter lim="800000"/>
            <a:headEnd/>
            <a:tailEnd/>
          </a:ln>
        </xdr:spPr>
      </xdr:sp>
      <xdr:grpSp>
        <xdr:nvGrpSpPr>
          <xdr:cNvPr id="191" name="组合 190"/>
          <xdr:cNvGrpSpPr/>
        </xdr:nvGrpSpPr>
        <xdr:grpSpPr>
          <a:xfrm rot="10800000">
            <a:off x="1038225" y="24012525"/>
            <a:ext cx="466725" cy="371476"/>
            <a:chOff x="5381625" y="22231349"/>
            <a:chExt cx="466725" cy="371476"/>
          </a:xfrm>
        </xdr:grpSpPr>
        <xdr:sp macro="" textlink="">
          <xdr:nvSpPr>
            <xdr:cNvPr id="205"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206" name="矩形 205"/>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198" name="组合 197"/>
          <xdr:cNvGrpSpPr/>
        </xdr:nvGrpSpPr>
        <xdr:grpSpPr>
          <a:xfrm rot="10800000">
            <a:off x="3438525" y="24012524"/>
            <a:ext cx="466725" cy="371476"/>
            <a:chOff x="5381625" y="22231349"/>
            <a:chExt cx="466725" cy="371476"/>
          </a:xfrm>
        </xdr:grpSpPr>
        <xdr:sp macro="" textlink="">
          <xdr:nvSpPr>
            <xdr:cNvPr id="203"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204" name="矩形 203"/>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200" name="组合 199"/>
          <xdr:cNvGrpSpPr/>
        </xdr:nvGrpSpPr>
        <xdr:grpSpPr>
          <a:xfrm rot="10800000">
            <a:off x="5391150" y="24012524"/>
            <a:ext cx="466725" cy="371476"/>
            <a:chOff x="5381625" y="22231349"/>
            <a:chExt cx="466725" cy="371476"/>
          </a:xfrm>
        </xdr:grpSpPr>
        <xdr:sp macro="" textlink="">
          <xdr:nvSpPr>
            <xdr:cNvPr id="201"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202" name="矩形 201"/>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cxnSp macro="">
        <xdr:nvCxnSpPr>
          <xdr:cNvPr id="235" name="直接连接符 234"/>
          <xdr:cNvCxnSpPr/>
        </xdr:nvCxnSpPr>
        <xdr:spPr>
          <a:xfrm>
            <a:off x="228600" y="23983950"/>
            <a:ext cx="6762750" cy="0"/>
          </a:xfrm>
          <a:prstGeom prst="line">
            <a:avLst/>
          </a:prstGeom>
          <a:ln w="571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cxnSp macro="">
        <xdr:nvCxnSpPr>
          <xdr:cNvPr id="236" name="直接连接符 235"/>
          <xdr:cNvCxnSpPr/>
        </xdr:nvCxnSpPr>
        <xdr:spPr>
          <a:xfrm>
            <a:off x="228600" y="22640925"/>
            <a:ext cx="6762750" cy="0"/>
          </a:xfrm>
          <a:prstGeom prst="line">
            <a:avLst/>
          </a:prstGeom>
          <a:ln w="571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9</xdr:col>
      <xdr:colOff>628650</xdr:colOff>
      <xdr:row>107</xdr:row>
      <xdr:rowOff>133350</xdr:rowOff>
    </xdr:from>
    <xdr:to>
      <xdr:col>10</xdr:col>
      <xdr:colOff>466725</xdr:colOff>
      <xdr:row>107</xdr:row>
      <xdr:rowOff>133350</xdr:rowOff>
    </xdr:to>
    <xdr:cxnSp macro="">
      <xdr:nvCxnSpPr>
        <xdr:cNvPr id="247" name="直接连接符 246"/>
        <xdr:cNvCxnSpPr/>
      </xdr:nvCxnSpPr>
      <xdr:spPr>
        <a:xfrm>
          <a:off x="7267575" y="23926800"/>
          <a:ext cx="55245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190500</xdr:colOff>
      <xdr:row>106</xdr:row>
      <xdr:rowOff>47625</xdr:rowOff>
    </xdr:from>
    <xdr:to>
      <xdr:col>10</xdr:col>
      <xdr:colOff>190501</xdr:colOff>
      <xdr:row>107</xdr:row>
      <xdr:rowOff>142875</xdr:rowOff>
    </xdr:to>
    <xdr:cxnSp macro="">
      <xdr:nvCxnSpPr>
        <xdr:cNvPr id="255" name="直接箭头连接符 254"/>
        <xdr:cNvCxnSpPr/>
      </xdr:nvCxnSpPr>
      <xdr:spPr>
        <a:xfrm>
          <a:off x="7543800" y="23641050"/>
          <a:ext cx="1" cy="295275"/>
        </a:xfrm>
        <a:prstGeom prst="straightConnector1">
          <a:avLst/>
        </a:prstGeom>
        <a:ln>
          <a:solidFill>
            <a:sysClr val="windowText" lastClr="000000"/>
          </a:solidFill>
          <a:headEnd type="non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200025</xdr:colOff>
      <xdr:row>108</xdr:row>
      <xdr:rowOff>19053</xdr:rowOff>
    </xdr:from>
    <xdr:to>
      <xdr:col>10</xdr:col>
      <xdr:colOff>200026</xdr:colOff>
      <xdr:row>110</xdr:row>
      <xdr:rowOff>9525</xdr:rowOff>
    </xdr:to>
    <xdr:cxnSp macro="">
      <xdr:nvCxnSpPr>
        <xdr:cNvPr id="256" name="直接箭头连接符 255"/>
        <xdr:cNvCxnSpPr/>
      </xdr:nvCxnSpPr>
      <xdr:spPr>
        <a:xfrm flipV="1">
          <a:off x="7553325" y="24012528"/>
          <a:ext cx="1" cy="390522"/>
        </a:xfrm>
        <a:prstGeom prst="straightConnector1">
          <a:avLst/>
        </a:prstGeom>
        <a:ln>
          <a:solidFill>
            <a:sysClr val="windowText" lastClr="000000"/>
          </a:solidFill>
          <a:headEnd type="non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200025</xdr:colOff>
      <xdr:row>110</xdr:row>
      <xdr:rowOff>19050</xdr:rowOff>
    </xdr:from>
    <xdr:to>
      <xdr:col>11</xdr:col>
      <xdr:colOff>333375</xdr:colOff>
      <xdr:row>110</xdr:row>
      <xdr:rowOff>19050</xdr:rowOff>
    </xdr:to>
    <xdr:cxnSp macro="">
      <xdr:nvCxnSpPr>
        <xdr:cNvPr id="266" name="直接连接符 265"/>
        <xdr:cNvCxnSpPr/>
      </xdr:nvCxnSpPr>
      <xdr:spPr>
        <a:xfrm>
          <a:off x="7553325" y="24412575"/>
          <a:ext cx="819150"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344805</xdr:colOff>
      <xdr:row>87</xdr:row>
      <xdr:rowOff>1905</xdr:rowOff>
    </xdr:from>
    <xdr:ext cx="563616" cy="170560"/>
    <xdr:sp macro="" textlink="">
      <xdr:nvSpPr>
        <xdr:cNvPr id="268" name="Text Box 386"/>
        <xdr:cNvSpPr txBox="1">
          <a:spLocks noChangeArrowheads="1"/>
        </xdr:cNvSpPr>
      </xdr:nvSpPr>
      <xdr:spPr bwMode="auto">
        <a:xfrm>
          <a:off x="8383905" y="17851755"/>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+/-1.0mm</a:t>
          </a:r>
        </a:p>
      </xdr:txBody>
    </xdr:sp>
    <xdr:clientData/>
  </xdr:oneCellAnchor>
  <xdr:oneCellAnchor>
    <xdr:from>
      <xdr:col>11</xdr:col>
      <xdr:colOff>316230</xdr:colOff>
      <xdr:row>86</xdr:row>
      <xdr:rowOff>15240</xdr:rowOff>
    </xdr:from>
    <xdr:ext cx="891270" cy="170560"/>
    <xdr:sp macro="" textlink="">
      <xdr:nvSpPr>
        <xdr:cNvPr id="269" name="Text Box 386"/>
        <xdr:cNvSpPr txBox="1">
          <a:spLocks noChangeArrowheads="1"/>
        </xdr:cNvSpPr>
      </xdr:nvSpPr>
      <xdr:spPr bwMode="auto">
        <a:xfrm>
          <a:off x="7532370" y="17419320"/>
          <a:ext cx="891270"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mm (0~0.5mm)</a:t>
          </a:r>
        </a:p>
      </xdr:txBody>
    </xdr:sp>
    <xdr:clientData/>
  </xdr:oneCellAnchor>
  <xdr:twoCellAnchor>
    <xdr:from>
      <xdr:col>7</xdr:col>
      <xdr:colOff>676275</xdr:colOff>
      <xdr:row>108</xdr:row>
      <xdr:rowOff>76200</xdr:rowOff>
    </xdr:from>
    <xdr:to>
      <xdr:col>8</xdr:col>
      <xdr:colOff>314325</xdr:colOff>
      <xdr:row>109</xdr:row>
      <xdr:rowOff>28575</xdr:rowOff>
    </xdr:to>
    <xdr:cxnSp macro="">
      <xdr:nvCxnSpPr>
        <xdr:cNvPr id="271" name="直接箭头连接符 270"/>
        <xdr:cNvCxnSpPr/>
      </xdr:nvCxnSpPr>
      <xdr:spPr>
        <a:xfrm>
          <a:off x="5886450" y="24069675"/>
          <a:ext cx="352425" cy="152400"/>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649605</xdr:colOff>
      <xdr:row>33</xdr:row>
      <xdr:rowOff>11430</xdr:rowOff>
    </xdr:from>
    <xdr:ext cx="563616" cy="170560"/>
    <xdr:sp macro="" textlink="">
      <xdr:nvSpPr>
        <xdr:cNvPr id="273" name="Text Box 386"/>
        <xdr:cNvSpPr txBox="1">
          <a:spLocks noChangeArrowheads="1"/>
        </xdr:cNvSpPr>
      </xdr:nvSpPr>
      <xdr:spPr bwMode="auto">
        <a:xfrm>
          <a:off x="8688705" y="700278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twoCellAnchor>
    <xdr:from>
      <xdr:col>3</xdr:col>
      <xdr:colOff>228600</xdr:colOff>
      <xdr:row>11</xdr:row>
      <xdr:rowOff>133350</xdr:rowOff>
    </xdr:from>
    <xdr:to>
      <xdr:col>4</xdr:col>
      <xdr:colOff>500744</xdr:colOff>
      <xdr:row>12</xdr:row>
      <xdr:rowOff>84113</xdr:rowOff>
    </xdr:to>
    <xdr:sp macro="" textlink="">
      <xdr:nvSpPr>
        <xdr:cNvPr id="230" name="Rectangle 144"/>
        <xdr:cNvSpPr>
          <a:spLocks noChangeArrowheads="1"/>
        </xdr:cNvSpPr>
      </xdr:nvSpPr>
      <xdr:spPr bwMode="auto">
        <a:xfrm>
          <a:off x="1933575" y="7077075"/>
          <a:ext cx="1053194" cy="150788"/>
        </a:xfrm>
        <a:prstGeom prst="trapezoid">
          <a:avLst>
            <a:gd name="adj" fmla="val 12388"/>
          </a:avLst>
        </a:prstGeom>
        <a:noFill/>
        <a:ln w="15875">
          <a:solidFill>
            <a:sysClr val="windowText" lastClr="000000">
              <a:alpha val="29000"/>
            </a:sysClr>
          </a:solidFill>
          <a:prstDash val="sysDash"/>
          <a:miter lim="800000"/>
          <a:headEnd/>
          <a:tailEnd/>
        </a:ln>
      </xdr:spPr>
    </xdr:sp>
    <xdr:clientData/>
  </xdr:twoCellAnchor>
  <xdr:twoCellAnchor>
    <xdr:from>
      <xdr:col>5</xdr:col>
      <xdr:colOff>828675</xdr:colOff>
      <xdr:row>10</xdr:row>
      <xdr:rowOff>114300</xdr:rowOff>
    </xdr:from>
    <xdr:to>
      <xdr:col>7</xdr:col>
      <xdr:colOff>182872</xdr:colOff>
      <xdr:row>11</xdr:row>
      <xdr:rowOff>153572</xdr:rowOff>
    </xdr:to>
    <xdr:sp macro="" textlink="">
      <xdr:nvSpPr>
        <xdr:cNvPr id="240" name="Rectangle 144"/>
        <xdr:cNvSpPr>
          <a:spLocks noChangeArrowheads="1"/>
        </xdr:cNvSpPr>
      </xdr:nvSpPr>
      <xdr:spPr bwMode="auto">
        <a:xfrm>
          <a:off x="4314825" y="2200275"/>
          <a:ext cx="1078222" cy="239297"/>
        </a:xfrm>
        <a:prstGeom prst="trapezoid">
          <a:avLst>
            <a:gd name="adj" fmla="val 11026"/>
          </a:avLst>
        </a:prstGeom>
        <a:solidFill>
          <a:sysClr val="window" lastClr="FFFFFF">
            <a:lumMod val="75000"/>
            <a:alpha val="70195"/>
          </a:sysClr>
        </a:solidFill>
        <a:ln w="15875">
          <a:noFill/>
          <a:miter lim="800000"/>
          <a:headEnd/>
          <a:tailEnd/>
        </a:ln>
      </xdr:spPr>
    </xdr:sp>
    <xdr:clientData/>
  </xdr:twoCellAnchor>
  <xdr:twoCellAnchor>
    <xdr:from>
      <xdr:col>5</xdr:col>
      <xdr:colOff>887730</xdr:colOff>
      <xdr:row>4</xdr:row>
      <xdr:rowOff>106680</xdr:rowOff>
    </xdr:from>
    <xdr:to>
      <xdr:col>5</xdr:col>
      <xdr:colOff>887730</xdr:colOff>
      <xdr:row>7</xdr:row>
      <xdr:rowOff>7620</xdr:rowOff>
    </xdr:to>
    <xdr:cxnSp macro="">
      <xdr:nvCxnSpPr>
        <xdr:cNvPr id="241" name="直接连接符 240"/>
        <xdr:cNvCxnSpPr/>
      </xdr:nvCxnSpPr>
      <xdr:spPr>
        <a:xfrm flipV="1">
          <a:off x="4019550" y="982980"/>
          <a:ext cx="0" cy="49530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114300</xdr:colOff>
      <xdr:row>4</xdr:row>
      <xdr:rowOff>99060</xdr:rowOff>
    </xdr:from>
    <xdr:to>
      <xdr:col>7</xdr:col>
      <xdr:colOff>114300</xdr:colOff>
      <xdr:row>7</xdr:row>
      <xdr:rowOff>15242</xdr:rowOff>
    </xdr:to>
    <xdr:cxnSp macro="">
      <xdr:nvCxnSpPr>
        <xdr:cNvPr id="242" name="直接连接符 241"/>
        <xdr:cNvCxnSpPr/>
      </xdr:nvCxnSpPr>
      <xdr:spPr>
        <a:xfrm flipV="1">
          <a:off x="4792980" y="975360"/>
          <a:ext cx="0" cy="510542"/>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891539</xdr:colOff>
      <xdr:row>5</xdr:row>
      <xdr:rowOff>34773</xdr:rowOff>
    </xdr:from>
    <xdr:to>
      <xdr:col>7</xdr:col>
      <xdr:colOff>106680</xdr:colOff>
      <xdr:row>5</xdr:row>
      <xdr:rowOff>34773</xdr:rowOff>
    </xdr:to>
    <xdr:sp macro="" textlink="">
      <xdr:nvSpPr>
        <xdr:cNvPr id="243" name="Line 182"/>
        <xdr:cNvSpPr>
          <a:spLocks noChangeShapeType="1"/>
        </xdr:cNvSpPr>
      </xdr:nvSpPr>
      <xdr:spPr bwMode="auto">
        <a:xfrm>
          <a:off x="4023359" y="1109193"/>
          <a:ext cx="762001"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sp>
    <xdr:clientData/>
  </xdr:twoCellAnchor>
  <xdr:oneCellAnchor>
    <xdr:from>
      <xdr:col>6</xdr:col>
      <xdr:colOff>423353</xdr:colOff>
      <xdr:row>3</xdr:row>
      <xdr:rowOff>180975</xdr:rowOff>
    </xdr:from>
    <xdr:ext cx="666750" cy="200025"/>
    <xdr:sp macro="" textlink="">
      <xdr:nvSpPr>
        <xdr:cNvPr id="244" name="Text Box 179"/>
        <xdr:cNvSpPr txBox="1">
          <a:spLocks noChangeArrowheads="1"/>
        </xdr:cNvSpPr>
      </xdr:nvSpPr>
      <xdr:spPr bwMode="auto">
        <a:xfrm>
          <a:off x="4477193" y="859155"/>
          <a:ext cx="666750" cy="200025"/>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vert="horz" wrap="square" lIns="18288" tIns="22860" rIns="0" bIns="0" anchor="ctr" upright="1">
          <a:noAutofit/>
        </a:bodyPr>
        <a:lstStyle/>
        <a:p>
          <a:pPr marL="0" marR="0" lvl="0" indent="0" algn="l"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Calibri" pitchFamily="34" charset="0"/>
              <a:cs typeface="Arial"/>
            </a:rPr>
            <a:t>±0.5mm</a:t>
          </a:r>
        </a:p>
      </xdr:txBody>
    </xdr:sp>
    <xdr:clientData/>
  </xdr:oneCellAnchor>
  <xdr:twoCellAnchor>
    <xdr:from>
      <xdr:col>0</xdr:col>
      <xdr:colOff>228600</xdr:colOff>
      <xdr:row>49</xdr:row>
      <xdr:rowOff>28575</xdr:rowOff>
    </xdr:from>
    <xdr:to>
      <xdr:col>10</xdr:col>
      <xdr:colOff>142875</xdr:colOff>
      <xdr:row>52</xdr:row>
      <xdr:rowOff>180975</xdr:rowOff>
    </xdr:to>
    <xdr:grpSp>
      <xdr:nvGrpSpPr>
        <xdr:cNvPr id="41" name="组合 40"/>
        <xdr:cNvGrpSpPr/>
      </xdr:nvGrpSpPr>
      <xdr:grpSpPr>
        <a:xfrm>
          <a:off x="228600" y="10220325"/>
          <a:ext cx="7267575" cy="752475"/>
          <a:chOff x="257175" y="9715500"/>
          <a:chExt cx="7267575" cy="752475"/>
        </a:xfrm>
      </xdr:grpSpPr>
      <xdr:sp macro="" textlink="">
        <xdr:nvSpPr>
          <xdr:cNvPr id="246" name="矩形 245"/>
          <xdr:cNvSpPr/>
        </xdr:nvSpPr>
        <xdr:spPr bwMode="auto">
          <a:xfrm>
            <a:off x="266700" y="10210800"/>
            <a:ext cx="7258050" cy="104775"/>
          </a:xfrm>
          <a:prstGeom prst="rect">
            <a:avLst/>
          </a:prstGeom>
          <a:solidFill>
            <a:srgbClr val="FF9900"/>
          </a:solidFill>
          <a:ln w="9525">
            <a:solidFill>
              <a:srgbClr val="FFC000"/>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48" name="矩形 247"/>
          <xdr:cNvSpPr/>
        </xdr:nvSpPr>
        <xdr:spPr bwMode="auto">
          <a:xfrm>
            <a:off x="266700" y="10296524"/>
            <a:ext cx="7258050" cy="161925"/>
          </a:xfrm>
          <a:prstGeom prst="rect">
            <a:avLst/>
          </a:prstGeom>
          <a:solidFill>
            <a:schemeClr val="bg1">
              <a:lumMod val="75000"/>
            </a:schemeClr>
          </a:solidFill>
          <a:ln w="9525">
            <a:solidFill>
              <a:schemeClr val="bg1">
                <a:lumMod val="75000"/>
              </a:schemeClr>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49" name="矩形 248"/>
          <xdr:cNvSpPr/>
        </xdr:nvSpPr>
        <xdr:spPr bwMode="auto">
          <a:xfrm>
            <a:off x="723901" y="10048874"/>
            <a:ext cx="4152900" cy="161925"/>
          </a:xfrm>
          <a:prstGeom prst="rect">
            <a:avLst/>
          </a:prstGeom>
          <a:solidFill>
            <a:schemeClr val="bg1">
              <a:lumMod val="75000"/>
            </a:schemeClr>
          </a:solidFill>
          <a:ln w="9525">
            <a:solidFill>
              <a:schemeClr val="bg1">
                <a:lumMod val="75000"/>
              </a:schemeClr>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50" name="矩形 249"/>
          <xdr:cNvSpPr/>
        </xdr:nvSpPr>
        <xdr:spPr bwMode="auto">
          <a:xfrm>
            <a:off x="5448300" y="10048875"/>
            <a:ext cx="2066925" cy="161925"/>
          </a:xfrm>
          <a:prstGeom prst="rect">
            <a:avLst/>
          </a:prstGeom>
          <a:solidFill>
            <a:schemeClr val="bg1">
              <a:lumMod val="75000"/>
            </a:schemeClr>
          </a:solidFill>
          <a:ln w="9525">
            <a:solidFill>
              <a:schemeClr val="bg1">
                <a:lumMod val="75000"/>
              </a:schemeClr>
            </a:solidFill>
            <a:round/>
            <a:headEnd type="stealth" w="med" len="med"/>
            <a:tailEnd type="stealth" w="med" len="med"/>
          </a:ln>
          <a:extLst/>
        </xdr:spPr>
        <xdr:txBody>
          <a:bodyPr vertOverflow="clip" horzOverflow="clip" rtlCol="0" anchor="t"/>
          <a:lstStyle/>
          <a:p>
            <a:pPr algn="l"/>
            <a:endParaRPr lang="zh-CN" altLang="en-US" sz="1100"/>
          </a:p>
        </xdr:txBody>
      </xdr:sp>
      <xdr:cxnSp macro="">
        <xdr:nvCxnSpPr>
          <xdr:cNvPr id="252" name="直接连接符 251"/>
          <xdr:cNvCxnSpPr/>
        </xdr:nvCxnSpPr>
        <xdr:spPr>
          <a:xfrm>
            <a:off x="266700" y="9715500"/>
            <a:ext cx="0" cy="75247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254" name="直接连接符 253"/>
          <xdr:cNvCxnSpPr/>
        </xdr:nvCxnSpPr>
        <xdr:spPr>
          <a:xfrm>
            <a:off x="4876800" y="9820275"/>
            <a:ext cx="0" cy="36000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257" name="直接连接符 256"/>
          <xdr:cNvCxnSpPr/>
        </xdr:nvCxnSpPr>
        <xdr:spPr>
          <a:xfrm>
            <a:off x="733425" y="10067925"/>
            <a:ext cx="0" cy="14400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6" name="直接箭头连接符 35"/>
          <xdr:cNvCxnSpPr/>
        </xdr:nvCxnSpPr>
        <xdr:spPr>
          <a:xfrm>
            <a:off x="257175" y="10134600"/>
            <a:ext cx="468000"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261" name="直接箭头连接符 260"/>
          <xdr:cNvCxnSpPr/>
        </xdr:nvCxnSpPr>
        <xdr:spPr>
          <a:xfrm>
            <a:off x="285750" y="9867900"/>
            <a:ext cx="4572000"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123813</xdr:colOff>
      <xdr:row>93</xdr:row>
      <xdr:rowOff>76200</xdr:rowOff>
    </xdr:from>
    <xdr:to>
      <xdr:col>10</xdr:col>
      <xdr:colOff>257175</xdr:colOff>
      <xdr:row>97</xdr:row>
      <xdr:rowOff>28575</xdr:rowOff>
    </xdr:to>
    <xdr:grpSp>
      <xdr:nvGrpSpPr>
        <xdr:cNvPr id="55" name="组合 54"/>
        <xdr:cNvGrpSpPr/>
      </xdr:nvGrpSpPr>
      <xdr:grpSpPr>
        <a:xfrm>
          <a:off x="361938" y="19126200"/>
          <a:ext cx="7248537" cy="752475"/>
          <a:chOff x="276213" y="18926175"/>
          <a:chExt cx="7248537" cy="752475"/>
        </a:xfrm>
      </xdr:grpSpPr>
      <xdr:sp macro="" textlink="">
        <xdr:nvSpPr>
          <xdr:cNvPr id="263" name="矩形 262"/>
          <xdr:cNvSpPr/>
        </xdr:nvSpPr>
        <xdr:spPr bwMode="auto">
          <a:xfrm>
            <a:off x="276213" y="19421475"/>
            <a:ext cx="7248537" cy="104775"/>
          </a:xfrm>
          <a:prstGeom prst="rect">
            <a:avLst/>
          </a:prstGeom>
          <a:solidFill>
            <a:schemeClr val="bg1">
              <a:lumMod val="50000"/>
            </a:schemeClr>
          </a:solidFill>
          <a:ln w="9525">
            <a:solidFill>
              <a:schemeClr val="bg1">
                <a:lumMod val="50000"/>
              </a:schemeClr>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64" name="矩形 263"/>
          <xdr:cNvSpPr/>
        </xdr:nvSpPr>
        <xdr:spPr bwMode="auto">
          <a:xfrm>
            <a:off x="276213" y="19507199"/>
            <a:ext cx="7248537" cy="161925"/>
          </a:xfrm>
          <a:prstGeom prst="rect">
            <a:avLst/>
          </a:prstGeom>
          <a:solidFill>
            <a:schemeClr val="tx1"/>
          </a:solidFill>
          <a:ln w="9525">
            <a:solidFill>
              <a:schemeClr val="bg1">
                <a:lumMod val="75000"/>
              </a:schemeClr>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65" name="矩形 264"/>
          <xdr:cNvSpPr/>
        </xdr:nvSpPr>
        <xdr:spPr bwMode="auto">
          <a:xfrm>
            <a:off x="276214" y="19259549"/>
            <a:ext cx="4147457" cy="161925"/>
          </a:xfrm>
          <a:prstGeom prst="rect">
            <a:avLst/>
          </a:prstGeom>
          <a:solidFill>
            <a:schemeClr val="tx1"/>
          </a:solidFill>
          <a:ln w="9525">
            <a:solidFill>
              <a:schemeClr val="bg1">
                <a:lumMod val="75000"/>
              </a:schemeClr>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67" name="矩形 266"/>
          <xdr:cNvSpPr/>
        </xdr:nvSpPr>
        <xdr:spPr bwMode="auto">
          <a:xfrm>
            <a:off x="4870758" y="19240500"/>
            <a:ext cx="2644480" cy="171450"/>
          </a:xfrm>
          <a:prstGeom prst="rect">
            <a:avLst/>
          </a:prstGeom>
          <a:solidFill>
            <a:schemeClr val="tx1"/>
          </a:solidFill>
          <a:ln w="9525">
            <a:solidFill>
              <a:schemeClr val="bg1">
                <a:lumMod val="75000"/>
              </a:schemeClr>
            </a:solidFill>
            <a:round/>
            <a:headEnd type="stealth" w="med" len="med"/>
            <a:tailEnd type="stealth" w="med" len="med"/>
          </a:ln>
          <a:extLst/>
        </xdr:spPr>
        <xdr:txBody>
          <a:bodyPr vertOverflow="clip" horzOverflow="clip" rtlCol="0" anchor="t"/>
          <a:lstStyle/>
          <a:p>
            <a:pPr algn="l"/>
            <a:endParaRPr lang="zh-CN" altLang="en-US" sz="1100"/>
          </a:p>
        </xdr:txBody>
      </xdr:sp>
      <xdr:cxnSp macro="">
        <xdr:nvCxnSpPr>
          <xdr:cNvPr id="270" name="直接连接符 269"/>
          <xdr:cNvCxnSpPr/>
        </xdr:nvCxnSpPr>
        <xdr:spPr>
          <a:xfrm>
            <a:off x="276213" y="18926175"/>
            <a:ext cx="0" cy="75247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274" name="直接连接符 273"/>
          <xdr:cNvCxnSpPr/>
        </xdr:nvCxnSpPr>
        <xdr:spPr>
          <a:xfrm>
            <a:off x="4880882" y="18964275"/>
            <a:ext cx="0" cy="36000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275" name="直接箭头连接符 274"/>
          <xdr:cNvCxnSpPr/>
        </xdr:nvCxnSpPr>
        <xdr:spPr>
          <a:xfrm>
            <a:off x="4414157" y="19345275"/>
            <a:ext cx="467387"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276" name="直接箭头连接符 275"/>
          <xdr:cNvCxnSpPr/>
        </xdr:nvCxnSpPr>
        <xdr:spPr>
          <a:xfrm>
            <a:off x="285713" y="19050000"/>
            <a:ext cx="4562512"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1</xdr:col>
      <xdr:colOff>504825</xdr:colOff>
      <xdr:row>49</xdr:row>
      <xdr:rowOff>190500</xdr:rowOff>
    </xdr:from>
    <xdr:ext cx="590354" cy="195310"/>
    <xdr:sp macro="" textlink="">
      <xdr:nvSpPr>
        <xdr:cNvPr id="277" name="Text Box 386"/>
        <xdr:cNvSpPr txBox="1">
          <a:spLocks noChangeArrowheads="1"/>
        </xdr:cNvSpPr>
      </xdr:nvSpPr>
      <xdr:spPr bwMode="auto">
        <a:xfrm>
          <a:off x="742950" y="10382250"/>
          <a:ext cx="590354" cy="19531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rtl="0"/>
          <a:r>
            <a:rPr lang="en-US" altLang="zh-CN" sz="1100" b="0" i="0" baseline="0">
              <a:effectLst/>
              <a:latin typeface="+mn-lt"/>
              <a:ea typeface="+mn-ea"/>
              <a:cs typeface="+mn-cs"/>
            </a:rPr>
            <a:t>+/-1.5mm</a:t>
          </a:r>
          <a:endParaRPr lang="zh-CN" altLang="zh-CN" sz="1000">
            <a:effectLst/>
          </a:endParaRPr>
        </a:p>
      </xdr:txBody>
    </xdr:sp>
    <xdr:clientData/>
  </xdr:oneCellAnchor>
  <xdr:oneCellAnchor>
    <xdr:from>
      <xdr:col>3</xdr:col>
      <xdr:colOff>600075</xdr:colOff>
      <xdr:row>49</xdr:row>
      <xdr:rowOff>9525</xdr:rowOff>
    </xdr:from>
    <xdr:ext cx="590354" cy="195310"/>
    <xdr:sp macro="" textlink="">
      <xdr:nvSpPr>
        <xdr:cNvPr id="278" name="Text Box 386"/>
        <xdr:cNvSpPr txBox="1">
          <a:spLocks noChangeArrowheads="1"/>
        </xdr:cNvSpPr>
      </xdr:nvSpPr>
      <xdr:spPr bwMode="auto">
        <a:xfrm>
          <a:off x="2305050" y="10201275"/>
          <a:ext cx="590354" cy="19531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rtl="0"/>
          <a:r>
            <a:rPr lang="en-US" altLang="zh-CN" sz="1100" b="0" i="0" baseline="0">
              <a:effectLst/>
              <a:latin typeface="+mn-lt"/>
              <a:ea typeface="+mn-ea"/>
              <a:cs typeface="+mn-cs"/>
            </a:rPr>
            <a:t>+/-1.5mm</a:t>
          </a:r>
          <a:endParaRPr lang="zh-CN" altLang="zh-CN" sz="1000">
            <a:effectLst/>
          </a:endParaRPr>
        </a:p>
      </xdr:txBody>
    </xdr:sp>
    <xdr:clientData/>
  </xdr:oneCellAnchor>
  <xdr:oneCellAnchor>
    <xdr:from>
      <xdr:col>6</xdr:col>
      <xdr:colOff>466725</xdr:colOff>
      <xdr:row>94</xdr:row>
      <xdr:rowOff>0</xdr:rowOff>
    </xdr:from>
    <xdr:ext cx="590354" cy="195310"/>
    <xdr:sp macro="" textlink="">
      <xdr:nvSpPr>
        <xdr:cNvPr id="279" name="Text Box 386"/>
        <xdr:cNvSpPr txBox="1">
          <a:spLocks noChangeArrowheads="1"/>
        </xdr:cNvSpPr>
      </xdr:nvSpPr>
      <xdr:spPr bwMode="auto">
        <a:xfrm>
          <a:off x="4981575" y="19250025"/>
          <a:ext cx="590354" cy="19531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rtl="0"/>
          <a:r>
            <a:rPr lang="en-US" altLang="zh-CN" sz="1100" b="0" i="0" baseline="0">
              <a:effectLst/>
              <a:latin typeface="+mn-lt"/>
              <a:ea typeface="+mn-ea"/>
              <a:cs typeface="+mn-cs"/>
            </a:rPr>
            <a:t>+/-1.5mm</a:t>
          </a:r>
          <a:endParaRPr lang="zh-CN" altLang="zh-CN" sz="1000">
            <a:effectLst/>
          </a:endParaRPr>
        </a:p>
      </xdr:txBody>
    </xdr:sp>
    <xdr:clientData/>
  </xdr:oneCellAnchor>
  <xdr:oneCellAnchor>
    <xdr:from>
      <xdr:col>4</xdr:col>
      <xdr:colOff>523875</xdr:colOff>
      <xdr:row>93</xdr:row>
      <xdr:rowOff>0</xdr:rowOff>
    </xdr:from>
    <xdr:ext cx="590354" cy="195310"/>
    <xdr:sp macro="" textlink="">
      <xdr:nvSpPr>
        <xdr:cNvPr id="280" name="Text Box 386"/>
        <xdr:cNvSpPr txBox="1">
          <a:spLocks noChangeArrowheads="1"/>
        </xdr:cNvSpPr>
      </xdr:nvSpPr>
      <xdr:spPr bwMode="auto">
        <a:xfrm>
          <a:off x="3009900" y="19050000"/>
          <a:ext cx="590354" cy="19531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rtl="0"/>
          <a:r>
            <a:rPr lang="en-US" altLang="zh-CN" sz="1100" b="0" i="0" baseline="0">
              <a:effectLst/>
              <a:latin typeface="+mn-lt"/>
              <a:ea typeface="+mn-ea"/>
              <a:cs typeface="+mn-cs"/>
            </a:rPr>
            <a:t>+/-1.5mm</a:t>
          </a:r>
          <a:endParaRPr lang="zh-CN" altLang="zh-CN" sz="1000">
            <a:effectLst/>
          </a:endParaRPr>
        </a:p>
      </xdr:txBody>
    </xdr:sp>
    <xdr:clientData/>
  </xdr:oneCellAnchor>
  <xdr:twoCellAnchor>
    <xdr:from>
      <xdr:col>5</xdr:col>
      <xdr:colOff>342900</xdr:colOff>
      <xdr:row>54</xdr:row>
      <xdr:rowOff>190500</xdr:rowOff>
    </xdr:from>
    <xdr:to>
      <xdr:col>5</xdr:col>
      <xdr:colOff>828675</xdr:colOff>
      <xdr:row>56</xdr:row>
      <xdr:rowOff>57150</xdr:rowOff>
    </xdr:to>
    <xdr:cxnSp macro="">
      <xdr:nvCxnSpPr>
        <xdr:cNvPr id="234" name="直接箭头连接符 233"/>
        <xdr:cNvCxnSpPr/>
      </xdr:nvCxnSpPr>
      <xdr:spPr>
        <a:xfrm flipV="1">
          <a:off x="3829050" y="11382375"/>
          <a:ext cx="485775" cy="266700"/>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355277</xdr:colOff>
      <xdr:row>78</xdr:row>
      <xdr:rowOff>10578</xdr:rowOff>
    </xdr:from>
    <xdr:to>
      <xdr:col>9</xdr:col>
      <xdr:colOff>614454</xdr:colOff>
      <xdr:row>80</xdr:row>
      <xdr:rowOff>25628</xdr:rowOff>
    </xdr:to>
    <xdr:grpSp>
      <xdr:nvGrpSpPr>
        <xdr:cNvPr id="33" name="组合 32"/>
        <xdr:cNvGrpSpPr/>
      </xdr:nvGrpSpPr>
      <xdr:grpSpPr>
        <a:xfrm>
          <a:off x="6994202" y="16060203"/>
          <a:ext cx="259177" cy="415100"/>
          <a:chOff x="7090497" y="16009578"/>
          <a:chExt cx="328623" cy="377774"/>
        </a:xfrm>
      </xdr:grpSpPr>
      <xdr:sp macro="" textlink="">
        <xdr:nvSpPr>
          <xdr:cNvPr id="245" name="Text Box 384"/>
          <xdr:cNvSpPr txBox="1">
            <a:spLocks noChangeArrowheads="1"/>
          </xdr:cNvSpPr>
        </xdr:nvSpPr>
        <xdr:spPr bwMode="auto">
          <a:xfrm>
            <a:off x="7258050" y="16106775"/>
            <a:ext cx="161070"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L1</a:t>
            </a:r>
          </a:p>
        </xdr:txBody>
      </xdr:sp>
      <xdr:sp macro="" textlink="">
        <xdr:nvSpPr>
          <xdr:cNvPr id="251" name="Line 413"/>
          <xdr:cNvSpPr>
            <a:spLocks noChangeShapeType="1"/>
          </xdr:cNvSpPr>
        </xdr:nvSpPr>
        <xdr:spPr bwMode="auto">
          <a:xfrm>
            <a:off x="7090497" y="16387352"/>
            <a:ext cx="268431"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253" name="Line 413"/>
          <xdr:cNvSpPr>
            <a:spLocks noChangeShapeType="1"/>
          </xdr:cNvSpPr>
        </xdr:nvSpPr>
        <xdr:spPr bwMode="auto">
          <a:xfrm>
            <a:off x="7090633" y="16009578"/>
            <a:ext cx="268431"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259" name="Line 382"/>
          <xdr:cNvSpPr>
            <a:spLocks noChangeShapeType="1"/>
          </xdr:cNvSpPr>
        </xdr:nvSpPr>
        <xdr:spPr bwMode="auto">
          <a:xfrm>
            <a:off x="7181850" y="16020063"/>
            <a:ext cx="0" cy="354977"/>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grpSp>
    <xdr:clientData/>
  </xdr:twoCellAnchor>
  <xdr:twoCellAnchor>
    <xdr:from>
      <xdr:col>9</xdr:col>
      <xdr:colOff>340890</xdr:colOff>
      <xdr:row>88</xdr:row>
      <xdr:rowOff>26314</xdr:rowOff>
    </xdr:from>
    <xdr:to>
      <xdr:col>9</xdr:col>
      <xdr:colOff>610653</xdr:colOff>
      <xdr:row>90</xdr:row>
      <xdr:rowOff>24929</xdr:rowOff>
    </xdr:to>
    <xdr:grpSp>
      <xdr:nvGrpSpPr>
        <xdr:cNvPr id="260" name="组合 259"/>
        <xdr:cNvGrpSpPr/>
      </xdr:nvGrpSpPr>
      <xdr:grpSpPr>
        <a:xfrm>
          <a:off x="6979815" y="18076189"/>
          <a:ext cx="269763" cy="398665"/>
          <a:chOff x="7077075" y="16030575"/>
          <a:chExt cx="342045" cy="439299"/>
        </a:xfrm>
      </xdr:grpSpPr>
      <xdr:sp macro="" textlink="">
        <xdr:nvSpPr>
          <xdr:cNvPr id="262" name="Text Box 384"/>
          <xdr:cNvSpPr txBox="1">
            <a:spLocks noChangeArrowheads="1"/>
          </xdr:cNvSpPr>
        </xdr:nvSpPr>
        <xdr:spPr bwMode="auto">
          <a:xfrm>
            <a:off x="7258050" y="16106775"/>
            <a:ext cx="161070" cy="18761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L2</a:t>
            </a:r>
          </a:p>
        </xdr:txBody>
      </xdr:sp>
      <xdr:sp macro="" textlink="">
        <xdr:nvSpPr>
          <xdr:cNvPr id="272" name="Line 413"/>
          <xdr:cNvSpPr>
            <a:spLocks noChangeShapeType="1"/>
          </xdr:cNvSpPr>
        </xdr:nvSpPr>
        <xdr:spPr bwMode="auto">
          <a:xfrm>
            <a:off x="7077075" y="16469874"/>
            <a:ext cx="295274"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281" name="Line 413"/>
          <xdr:cNvSpPr>
            <a:spLocks noChangeShapeType="1"/>
          </xdr:cNvSpPr>
        </xdr:nvSpPr>
        <xdr:spPr bwMode="auto">
          <a:xfrm>
            <a:off x="7090633" y="16030575"/>
            <a:ext cx="268431"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282" name="Line 382"/>
          <xdr:cNvSpPr>
            <a:spLocks noChangeShapeType="1"/>
          </xdr:cNvSpPr>
        </xdr:nvSpPr>
        <xdr:spPr bwMode="auto">
          <a:xfrm>
            <a:off x="7201174" y="16030701"/>
            <a:ext cx="0" cy="429522"/>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grpSp>
    <xdr:clientData/>
  </xdr:twoCellAnchor>
  <xdr:twoCellAnchor>
    <xdr:from>
      <xdr:col>11</xdr:col>
      <xdr:colOff>137160</xdr:colOff>
      <xdr:row>10</xdr:row>
      <xdr:rowOff>175260</xdr:rowOff>
    </xdr:from>
    <xdr:to>
      <xdr:col>11</xdr:col>
      <xdr:colOff>137160</xdr:colOff>
      <xdr:row>12</xdr:row>
      <xdr:rowOff>137160</xdr:rowOff>
    </xdr:to>
    <xdr:sp macro="" textlink="">
      <xdr:nvSpPr>
        <xdr:cNvPr id="283" name="Line 148"/>
        <xdr:cNvSpPr>
          <a:spLocks noChangeShapeType="1"/>
        </xdr:cNvSpPr>
      </xdr:nvSpPr>
      <xdr:spPr bwMode="auto">
        <a:xfrm flipH="1">
          <a:off x="7353300" y="2240280"/>
          <a:ext cx="0" cy="3581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twoCellAnchor>
    <xdr:from>
      <xdr:col>2</xdr:col>
      <xdr:colOff>388620</xdr:colOff>
      <xdr:row>9</xdr:row>
      <xdr:rowOff>15240</xdr:rowOff>
    </xdr:from>
    <xdr:to>
      <xdr:col>3</xdr:col>
      <xdr:colOff>297180</xdr:colOff>
      <xdr:row>11</xdr:row>
      <xdr:rowOff>17146</xdr:rowOff>
    </xdr:to>
    <xdr:cxnSp macro="">
      <xdr:nvCxnSpPr>
        <xdr:cNvPr id="284" name="直接箭头连接符 283"/>
        <xdr:cNvCxnSpPr/>
      </xdr:nvCxnSpPr>
      <xdr:spPr>
        <a:xfrm flipH="1" flipV="1">
          <a:off x="1219200" y="1882140"/>
          <a:ext cx="609600" cy="398146"/>
        </a:xfrm>
        <a:prstGeom prst="straightConnector1">
          <a:avLst/>
        </a:prstGeom>
        <a:ln>
          <a:solidFill>
            <a:sysClr val="windowText" lastClr="000000"/>
          </a:solidFill>
          <a:headEnd type="non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60960</xdr:colOff>
      <xdr:row>7</xdr:row>
      <xdr:rowOff>91440</xdr:rowOff>
    </xdr:from>
    <xdr:ext cx="975360" cy="359073"/>
    <xdr:sp macro="" textlink="">
      <xdr:nvSpPr>
        <xdr:cNvPr id="24" name="TextBox 23"/>
        <xdr:cNvSpPr txBox="1"/>
      </xdr:nvSpPr>
      <xdr:spPr>
        <a:xfrm>
          <a:off x="274320" y="1562100"/>
          <a:ext cx="975360"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800"/>
            <a:t>隔膜顶与阳极膜间</a:t>
          </a:r>
          <a:r>
            <a:rPr lang="en-US" altLang="zh-CN" sz="800"/>
            <a:t>Gap</a:t>
          </a:r>
          <a:endParaRPr lang="zh-CN" altLang="en-US" sz="800"/>
        </a:p>
      </xdr:txBody>
    </xdr:sp>
    <xdr:clientData/>
  </xdr:oneCellAnchor>
  <xdr:oneCellAnchor>
    <xdr:from>
      <xdr:col>7</xdr:col>
      <xdr:colOff>541020</xdr:colOff>
      <xdr:row>10</xdr:row>
      <xdr:rowOff>182880</xdr:rowOff>
    </xdr:from>
    <xdr:ext cx="821379" cy="156453"/>
    <xdr:sp macro="" textlink="">
      <xdr:nvSpPr>
        <xdr:cNvPr id="286" name="Text Box 160"/>
        <xdr:cNvSpPr txBox="1">
          <a:spLocks noChangeArrowheads="1"/>
        </xdr:cNvSpPr>
      </xdr:nvSpPr>
      <xdr:spPr bwMode="auto">
        <a:xfrm>
          <a:off x="5219700" y="2247900"/>
          <a:ext cx="821379" cy="156453"/>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zh-CN" altLang="en-US" sz="800" b="0" i="0" u="none" strike="noStrike" baseline="0">
              <a:solidFill>
                <a:srgbClr val="000000"/>
              </a:solidFill>
              <a:latin typeface="+mn-lt"/>
              <a:cs typeface="Arial"/>
            </a:rPr>
            <a:t>隔膜顶部</a:t>
          </a:r>
          <a:r>
            <a:rPr lang="en-US" altLang="zh-CN" sz="800" b="0" i="0" u="none" strike="noStrike" baseline="0">
              <a:solidFill>
                <a:srgbClr val="000000"/>
              </a:solidFill>
              <a:latin typeface="+mn-lt"/>
              <a:cs typeface="Arial"/>
            </a:rPr>
            <a:t>overhang</a:t>
          </a:r>
        </a:p>
      </xdr:txBody>
    </xdr:sp>
    <xdr:clientData/>
  </xdr:oneCellAnchor>
  <xdr:oneCellAnchor>
    <xdr:from>
      <xdr:col>10</xdr:col>
      <xdr:colOff>501015</xdr:colOff>
      <xdr:row>79</xdr:row>
      <xdr:rowOff>24765</xdr:rowOff>
    </xdr:from>
    <xdr:ext cx="563616" cy="155320"/>
    <xdr:sp macro="" textlink="">
      <xdr:nvSpPr>
        <xdr:cNvPr id="287" name="Text Box 386"/>
        <xdr:cNvSpPr txBox="1">
          <a:spLocks noChangeArrowheads="1"/>
        </xdr:cNvSpPr>
      </xdr:nvSpPr>
      <xdr:spPr bwMode="auto">
        <a:xfrm>
          <a:off x="7854315" y="16274415"/>
          <a:ext cx="563616" cy="15532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no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512445</xdr:colOff>
      <xdr:row>89</xdr:row>
      <xdr:rowOff>32385</xdr:rowOff>
    </xdr:from>
    <xdr:ext cx="563616" cy="155320"/>
    <xdr:sp macro="" textlink="">
      <xdr:nvSpPr>
        <xdr:cNvPr id="288" name="Text Box 386"/>
        <xdr:cNvSpPr txBox="1">
          <a:spLocks noChangeArrowheads="1"/>
        </xdr:cNvSpPr>
      </xdr:nvSpPr>
      <xdr:spPr bwMode="auto">
        <a:xfrm>
          <a:off x="7865745" y="18282285"/>
          <a:ext cx="563616" cy="15532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no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523875</xdr:colOff>
      <xdr:row>83</xdr:row>
      <xdr:rowOff>7620</xdr:rowOff>
    </xdr:from>
    <xdr:ext cx="563616" cy="170560"/>
    <xdr:sp macro="" textlink="">
      <xdr:nvSpPr>
        <xdr:cNvPr id="289" name="Text Box 386"/>
        <xdr:cNvSpPr txBox="1">
          <a:spLocks noChangeArrowheads="1"/>
        </xdr:cNvSpPr>
      </xdr:nvSpPr>
      <xdr:spPr bwMode="auto">
        <a:xfrm>
          <a:off x="7877175" y="1705737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274320</xdr:colOff>
      <xdr:row>104</xdr:row>
      <xdr:rowOff>22860</xdr:rowOff>
    </xdr:from>
    <xdr:ext cx="563616" cy="170560"/>
    <xdr:sp macro="" textlink="">
      <xdr:nvSpPr>
        <xdr:cNvPr id="290" name="Text Box 386"/>
        <xdr:cNvSpPr txBox="1">
          <a:spLocks noChangeArrowheads="1"/>
        </xdr:cNvSpPr>
      </xdr:nvSpPr>
      <xdr:spPr bwMode="auto">
        <a:xfrm>
          <a:off x="6873240" y="2099310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388620</xdr:colOff>
      <xdr:row>109</xdr:row>
      <xdr:rowOff>15240</xdr:rowOff>
    </xdr:from>
    <xdr:ext cx="563616" cy="170560"/>
    <xdr:sp macro="" textlink="">
      <xdr:nvSpPr>
        <xdr:cNvPr id="291" name="Text Box 386"/>
        <xdr:cNvSpPr txBox="1">
          <a:spLocks noChangeArrowheads="1"/>
        </xdr:cNvSpPr>
      </xdr:nvSpPr>
      <xdr:spPr bwMode="auto">
        <a:xfrm>
          <a:off x="6987540" y="2197608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365760</xdr:colOff>
      <xdr:row>115</xdr:row>
      <xdr:rowOff>30480</xdr:rowOff>
    </xdr:from>
    <xdr:ext cx="563616" cy="170560"/>
    <xdr:sp macro="" textlink="">
      <xdr:nvSpPr>
        <xdr:cNvPr id="292" name="Text Box 386"/>
        <xdr:cNvSpPr txBox="1">
          <a:spLocks noChangeArrowheads="1"/>
        </xdr:cNvSpPr>
      </xdr:nvSpPr>
      <xdr:spPr bwMode="auto">
        <a:xfrm>
          <a:off x="6964680" y="2318004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10</xdr:col>
      <xdr:colOff>480060</xdr:colOff>
      <xdr:row>112</xdr:row>
      <xdr:rowOff>5715</xdr:rowOff>
    </xdr:from>
    <xdr:ext cx="563616" cy="170560"/>
    <xdr:sp macro="" textlink="">
      <xdr:nvSpPr>
        <xdr:cNvPr id="293" name="Text Box 386"/>
        <xdr:cNvSpPr txBox="1">
          <a:spLocks noChangeArrowheads="1"/>
        </xdr:cNvSpPr>
      </xdr:nvSpPr>
      <xdr:spPr bwMode="auto">
        <a:xfrm>
          <a:off x="7833360" y="2285619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twoCellAnchor>
    <xdr:from>
      <xdr:col>10</xdr:col>
      <xdr:colOff>601980</xdr:colOff>
      <xdr:row>7</xdr:row>
      <xdr:rowOff>38100</xdr:rowOff>
    </xdr:from>
    <xdr:to>
      <xdr:col>10</xdr:col>
      <xdr:colOff>601980</xdr:colOff>
      <xdr:row>10</xdr:row>
      <xdr:rowOff>182880</xdr:rowOff>
    </xdr:to>
    <xdr:sp macro="" textlink="">
      <xdr:nvSpPr>
        <xdr:cNvPr id="258" name="Line 148"/>
        <xdr:cNvSpPr>
          <a:spLocks noChangeShapeType="1"/>
        </xdr:cNvSpPr>
      </xdr:nvSpPr>
      <xdr:spPr bwMode="auto">
        <a:xfrm flipH="1">
          <a:off x="7200900" y="1508760"/>
          <a:ext cx="0" cy="73914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clientData/>
  </xdr:twoCellAnchor>
  <xdr:oneCellAnchor>
    <xdr:from>
      <xdr:col>10</xdr:col>
      <xdr:colOff>510540</xdr:colOff>
      <xdr:row>7</xdr:row>
      <xdr:rowOff>190500</xdr:rowOff>
    </xdr:from>
    <xdr:ext cx="708660" cy="242374"/>
    <xdr:sp macro="" textlink="">
      <xdr:nvSpPr>
        <xdr:cNvPr id="285" name="TextBox 284"/>
        <xdr:cNvSpPr txBox="1"/>
      </xdr:nvSpPr>
      <xdr:spPr>
        <a:xfrm>
          <a:off x="7109460" y="1661160"/>
          <a:ext cx="708660" cy="2423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zh-CN" altLang="en-US" sz="900"/>
            <a:t>极耳高度</a:t>
          </a:r>
        </a:p>
      </xdr:txBody>
    </xdr:sp>
    <xdr:clientData/>
  </xdr:oneCellAnchor>
</xdr:wsDr>
</file>

<file path=xl/drawings/drawing6.xml><?xml version="1.0" encoding="utf-8"?>
<xdr:wsDr xmlns:xdr="http://schemas.openxmlformats.org/drawingml/2006/spreadsheetDrawing" xmlns:a="http://schemas.openxmlformats.org/drawingml/2006/main">
  <xdr:twoCellAnchor>
    <xdr:from>
      <xdr:col>1</xdr:col>
      <xdr:colOff>190499</xdr:colOff>
      <xdr:row>37</xdr:row>
      <xdr:rowOff>135144</xdr:rowOff>
    </xdr:from>
    <xdr:to>
      <xdr:col>3</xdr:col>
      <xdr:colOff>28575</xdr:colOff>
      <xdr:row>45</xdr:row>
      <xdr:rowOff>173241</xdr:rowOff>
    </xdr:to>
    <xdr:grpSp>
      <xdr:nvGrpSpPr>
        <xdr:cNvPr id="54" name="组合 53"/>
        <xdr:cNvGrpSpPr/>
      </xdr:nvGrpSpPr>
      <xdr:grpSpPr>
        <a:xfrm>
          <a:off x="428624" y="7316994"/>
          <a:ext cx="2371726" cy="1600197"/>
          <a:chOff x="8517456" y="8420100"/>
          <a:chExt cx="2221060" cy="1600197"/>
        </a:xfrm>
      </xdr:grpSpPr>
      <xdr:sp macro="" textlink="">
        <xdr:nvSpPr>
          <xdr:cNvPr id="56" name="矩形 55"/>
          <xdr:cNvSpPr/>
        </xdr:nvSpPr>
        <xdr:spPr bwMode="auto">
          <a:xfrm>
            <a:off x="8856147" y="8893861"/>
            <a:ext cx="1881625" cy="535885"/>
          </a:xfrm>
          <a:prstGeom prst="rect">
            <a:avLst/>
          </a:prstGeom>
          <a:solidFill>
            <a:schemeClr val="accent1">
              <a:lumMod val="60000"/>
              <a:lumOff val="40000"/>
            </a:schemeClr>
          </a:solidFill>
          <a:ln w="9525">
            <a:noFill/>
            <a:miter lim="800000"/>
            <a:headEnd/>
            <a:tailEnd/>
          </a:ln>
        </xdr:spPr>
        <xdr:txBody>
          <a:bodyPr vertOverflow="clip" horzOverflow="clip" rtlCol="0" anchor="t"/>
          <a:lstStyle/>
          <a:p>
            <a:pPr algn="l"/>
            <a:endParaRPr lang="zh-CN" altLang="en-US" sz="1100"/>
          </a:p>
        </xdr:txBody>
      </xdr:sp>
      <xdr:sp macro="" textlink="">
        <xdr:nvSpPr>
          <xdr:cNvPr id="57" name="梯形 56"/>
          <xdr:cNvSpPr/>
        </xdr:nvSpPr>
        <xdr:spPr bwMode="auto">
          <a:xfrm>
            <a:off x="8871730" y="9079255"/>
            <a:ext cx="1866786" cy="941042"/>
          </a:xfrm>
          <a:prstGeom prst="trapezoid">
            <a:avLst/>
          </a:prstGeom>
          <a:solidFill>
            <a:srgbClr val="66FFCC"/>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r>
              <a:rPr lang="zh-CN" altLang="en-US" sz="1100"/>
              <a:t>  </a:t>
            </a:r>
            <a:endParaRPr lang="en-US" altLang="zh-CN" sz="1100"/>
          </a:p>
          <a:p>
            <a:pPr algn="l"/>
            <a:r>
              <a:rPr lang="en-US" altLang="zh-CN" sz="1100"/>
              <a:t>       </a:t>
            </a:r>
            <a:endParaRPr lang="zh-CN" altLang="en-US" sz="1100"/>
          </a:p>
        </xdr:txBody>
      </xdr:sp>
      <xdr:sp macro="" textlink="">
        <xdr:nvSpPr>
          <xdr:cNvPr id="58" name="矩形 57"/>
          <xdr:cNvSpPr/>
        </xdr:nvSpPr>
        <xdr:spPr bwMode="auto">
          <a:xfrm>
            <a:off x="9341751" y="9143995"/>
            <a:ext cx="906797" cy="190505"/>
          </a:xfrm>
          <a:prstGeom prst="rect">
            <a:avLst/>
          </a:prstGeom>
          <a:pattFill prst="pct60">
            <a:fgClr>
              <a:srgbClr val="92D050"/>
            </a:fgClr>
            <a:bgClr>
              <a:schemeClr val="bg1"/>
            </a:bgClr>
          </a:patt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endParaRPr lang="zh-CN" altLang="en-US" sz="900"/>
          </a:p>
        </xdr:txBody>
      </xdr:sp>
      <xdr:cxnSp macro="">
        <xdr:nvCxnSpPr>
          <xdr:cNvPr id="59" name="直接连接符 58"/>
          <xdr:cNvCxnSpPr/>
        </xdr:nvCxnSpPr>
        <xdr:spPr>
          <a:xfrm>
            <a:off x="9034259" y="9420222"/>
            <a:ext cx="1545648" cy="3"/>
          </a:xfrm>
          <a:prstGeom prst="line">
            <a:avLst/>
          </a:prstGeom>
          <a:ln>
            <a:prstDash val="dash"/>
          </a:ln>
        </xdr:spPr>
        <xdr:style>
          <a:lnRef idx="1">
            <a:schemeClr val="accent1"/>
          </a:lnRef>
          <a:fillRef idx="0">
            <a:schemeClr val="accent1"/>
          </a:fillRef>
          <a:effectRef idx="0">
            <a:schemeClr val="accent1"/>
          </a:effectRef>
          <a:fontRef idx="minor">
            <a:schemeClr val="tx1"/>
          </a:fontRef>
        </xdr:style>
      </xdr:cxnSp>
      <xdr:sp macro="" textlink="">
        <xdr:nvSpPr>
          <xdr:cNvPr id="61" name="流程图: 手动输入 60"/>
          <xdr:cNvSpPr/>
        </xdr:nvSpPr>
        <xdr:spPr bwMode="auto">
          <a:xfrm rot="5400000">
            <a:off x="8543650" y="8393906"/>
            <a:ext cx="481012" cy="533400"/>
          </a:xfrm>
          <a:prstGeom prst="flowChartManualInpu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clientData/>
  </xdr:twoCellAnchor>
  <xdr:twoCellAnchor>
    <xdr:from>
      <xdr:col>1</xdr:col>
      <xdr:colOff>73456</xdr:colOff>
      <xdr:row>14</xdr:row>
      <xdr:rowOff>19054</xdr:rowOff>
    </xdr:from>
    <xdr:to>
      <xdr:col>3</xdr:col>
      <xdr:colOff>364692</xdr:colOff>
      <xdr:row>21</xdr:row>
      <xdr:rowOff>55018</xdr:rowOff>
    </xdr:to>
    <xdr:grpSp>
      <xdr:nvGrpSpPr>
        <xdr:cNvPr id="21" name="组合 20"/>
        <xdr:cNvGrpSpPr/>
      </xdr:nvGrpSpPr>
      <xdr:grpSpPr>
        <a:xfrm>
          <a:off x="311581" y="2657479"/>
          <a:ext cx="2824886" cy="1369464"/>
          <a:chOff x="257173" y="6487546"/>
          <a:chExt cx="3124251" cy="2161835"/>
        </a:xfrm>
      </xdr:grpSpPr>
      <xdr:sp macro="" textlink="">
        <xdr:nvSpPr>
          <xdr:cNvPr id="22" name="矩形 21"/>
          <xdr:cNvSpPr/>
        </xdr:nvSpPr>
        <xdr:spPr bwMode="auto">
          <a:xfrm>
            <a:off x="809432" y="7545705"/>
            <a:ext cx="2554765" cy="571500"/>
          </a:xfrm>
          <a:prstGeom prst="rec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vertOverflow="clip" horzOverflow="clip" rtlCol="0" anchor="t"/>
          <a:lstStyle/>
          <a:p>
            <a:pPr algn="l"/>
            <a:endParaRPr lang="zh-CN" altLang="en-US" sz="1100"/>
          </a:p>
        </xdr:txBody>
      </xdr:sp>
      <xdr:cxnSp macro="">
        <xdr:nvCxnSpPr>
          <xdr:cNvPr id="23" name="直接连接符 22"/>
          <xdr:cNvCxnSpPr/>
        </xdr:nvCxnSpPr>
        <xdr:spPr>
          <a:xfrm>
            <a:off x="3381424" y="8133140"/>
            <a:ext cx="0" cy="504576"/>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cxnSp macro="">
        <xdr:nvCxnSpPr>
          <xdr:cNvPr id="24" name="直接箭头连接符 23"/>
          <xdr:cNvCxnSpPr/>
        </xdr:nvCxnSpPr>
        <xdr:spPr>
          <a:xfrm>
            <a:off x="270026" y="6866089"/>
            <a:ext cx="766425"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25" name="直接连接符 24"/>
          <xdr:cNvCxnSpPr/>
        </xdr:nvCxnSpPr>
        <xdr:spPr>
          <a:xfrm>
            <a:off x="257930" y="6726627"/>
            <a:ext cx="0" cy="321862"/>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cxnSp macro="">
        <xdr:nvCxnSpPr>
          <xdr:cNvPr id="26" name="直接连接符 25"/>
          <xdr:cNvCxnSpPr/>
        </xdr:nvCxnSpPr>
        <xdr:spPr>
          <a:xfrm>
            <a:off x="1069578" y="6758194"/>
            <a:ext cx="0" cy="243398"/>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sp macro="" textlink="">
        <xdr:nvSpPr>
          <xdr:cNvPr id="27" name="TextBox 26"/>
          <xdr:cNvSpPr txBox="1"/>
        </xdr:nvSpPr>
        <xdr:spPr>
          <a:xfrm>
            <a:off x="339315" y="6487546"/>
            <a:ext cx="617249" cy="2556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a:t>上宽</a:t>
            </a:r>
            <a:r>
              <a:rPr lang="en-US" altLang="zh-CN" sz="800"/>
              <a:t>L1</a:t>
            </a:r>
            <a:endParaRPr lang="zh-CN" altLang="en-US" sz="800"/>
          </a:p>
        </xdr:txBody>
      </xdr:sp>
      <xdr:cxnSp macro="">
        <xdr:nvCxnSpPr>
          <xdr:cNvPr id="28" name="直接连接符 27"/>
          <xdr:cNvCxnSpPr/>
        </xdr:nvCxnSpPr>
        <xdr:spPr>
          <a:xfrm>
            <a:off x="261404" y="7630291"/>
            <a:ext cx="0" cy="1019090"/>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cxnSp macro="">
        <xdr:nvCxnSpPr>
          <xdr:cNvPr id="29" name="直接箭头连接符 28"/>
          <xdr:cNvCxnSpPr/>
        </xdr:nvCxnSpPr>
        <xdr:spPr>
          <a:xfrm>
            <a:off x="274402" y="8504802"/>
            <a:ext cx="3063044"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30" name="流程图: 手动输入 29"/>
          <xdr:cNvSpPr/>
        </xdr:nvSpPr>
        <xdr:spPr bwMode="auto">
          <a:xfrm rot="5400000">
            <a:off x="500061" y="6767512"/>
            <a:ext cx="533399" cy="1019175"/>
          </a:xfrm>
          <a:prstGeom prst="flowChartManualInpu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clientData/>
  </xdr:twoCellAnchor>
  <xdr:twoCellAnchor>
    <xdr:from>
      <xdr:col>2</xdr:col>
      <xdr:colOff>76200</xdr:colOff>
      <xdr:row>19</xdr:row>
      <xdr:rowOff>142875</xdr:rowOff>
    </xdr:from>
    <xdr:to>
      <xdr:col>2</xdr:col>
      <xdr:colOff>552450</xdr:colOff>
      <xdr:row>20</xdr:row>
      <xdr:rowOff>171450</xdr:rowOff>
    </xdr:to>
    <xdr:sp macro="" textlink="">
      <xdr:nvSpPr>
        <xdr:cNvPr id="31" name="TextBox 30"/>
        <xdr:cNvSpPr txBox="1"/>
      </xdr:nvSpPr>
      <xdr:spPr>
        <a:xfrm>
          <a:off x="1000125" y="6600825"/>
          <a:ext cx="476250" cy="219075"/>
        </a:xfrm>
        <a:prstGeom prst="rect">
          <a:avLst/>
        </a:prstGeom>
        <a:noFill/>
        <a:ln>
          <a:noFill/>
        </a:ln>
        <a:effectLst/>
      </xdr:spPr>
      <xdr:txBody>
        <a:bodyPr vertOverflow="clip" horzOverflow="clip" wrap="non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rPr>
            <a:t>下宽</a:t>
          </a:r>
          <a:r>
            <a:rPr kumimoji="0" lang="en-US" altLang="zh-CN" sz="800" b="0" i="0" u="none" strike="noStrike" kern="0" cap="none" spc="0" normalizeH="0" baseline="0" noProof="0">
              <a:ln>
                <a:noFill/>
              </a:ln>
              <a:solidFill>
                <a:sysClr val="windowText" lastClr="000000"/>
              </a:solidFill>
              <a:effectLst/>
              <a:uLnTx/>
              <a:uFillTx/>
              <a:latin typeface="Calibri"/>
              <a:ea typeface="宋体"/>
              <a:cs typeface="+mn-cs"/>
            </a:rPr>
            <a:t>L2</a:t>
          </a:r>
          <a:endPar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endParaRPr>
        </a:p>
      </xdr:txBody>
    </xdr:sp>
    <xdr:clientData/>
  </xdr:twoCellAnchor>
  <xdr:twoCellAnchor>
    <xdr:from>
      <xdr:col>8</xdr:col>
      <xdr:colOff>760095</xdr:colOff>
      <xdr:row>15</xdr:row>
      <xdr:rowOff>19050</xdr:rowOff>
    </xdr:from>
    <xdr:to>
      <xdr:col>12</xdr:col>
      <xdr:colOff>95250</xdr:colOff>
      <xdr:row>22</xdr:row>
      <xdr:rowOff>28575</xdr:rowOff>
    </xdr:to>
    <xdr:grpSp>
      <xdr:nvGrpSpPr>
        <xdr:cNvPr id="32" name="组合 31"/>
        <xdr:cNvGrpSpPr/>
      </xdr:nvGrpSpPr>
      <xdr:grpSpPr>
        <a:xfrm>
          <a:off x="8246745" y="2847975"/>
          <a:ext cx="2373630" cy="1343025"/>
          <a:chOff x="5095875" y="6667500"/>
          <a:chExt cx="3057525" cy="1933575"/>
        </a:xfrm>
      </xdr:grpSpPr>
      <xdr:sp macro="" textlink="">
        <xdr:nvSpPr>
          <xdr:cNvPr id="33" name="梯形 32"/>
          <xdr:cNvSpPr/>
        </xdr:nvSpPr>
        <xdr:spPr bwMode="auto">
          <a:xfrm>
            <a:off x="5095875" y="7077074"/>
            <a:ext cx="3057525" cy="1095375"/>
          </a:xfrm>
          <a:prstGeom prst="trapezoid">
            <a:avLst/>
          </a:prstGeom>
          <a:solidFill>
            <a:srgbClr val="66FFCC"/>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zh-CN" altLang="en-US" sz="1100" b="0" i="0" u="none" strike="noStrike" kern="0" cap="none" spc="0" normalizeH="0" baseline="0" noProof="0">
                <a:ln>
                  <a:noFill/>
                </a:ln>
                <a:solidFill>
                  <a:sysClr val="windowText" lastClr="000000"/>
                </a:solidFill>
                <a:effectLst/>
                <a:uLnTx/>
                <a:uFillTx/>
              </a:rPr>
              <a:t>极耳</a:t>
            </a:r>
          </a:p>
        </xdr:txBody>
      </xdr:sp>
      <xdr:cxnSp macro="">
        <xdr:nvCxnSpPr>
          <xdr:cNvPr id="34" name="直接箭头连接符 33"/>
          <xdr:cNvCxnSpPr/>
        </xdr:nvCxnSpPr>
        <xdr:spPr>
          <a:xfrm>
            <a:off x="5105402" y="8337196"/>
            <a:ext cx="3038475"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35" name="直接箭头连接符 34"/>
          <xdr:cNvCxnSpPr/>
        </xdr:nvCxnSpPr>
        <xdr:spPr>
          <a:xfrm>
            <a:off x="5381625" y="6867525"/>
            <a:ext cx="2476500"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36" name="直接连接符 35"/>
          <xdr:cNvCxnSpPr/>
        </xdr:nvCxnSpPr>
        <xdr:spPr>
          <a:xfrm>
            <a:off x="5095875" y="8239125"/>
            <a:ext cx="0" cy="3619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7" name="直接连接符 36"/>
          <xdr:cNvCxnSpPr/>
        </xdr:nvCxnSpPr>
        <xdr:spPr>
          <a:xfrm>
            <a:off x="8153400" y="8220075"/>
            <a:ext cx="0" cy="3619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8" name="直接连接符 37"/>
          <xdr:cNvCxnSpPr/>
        </xdr:nvCxnSpPr>
        <xdr:spPr>
          <a:xfrm>
            <a:off x="5338594" y="6667500"/>
            <a:ext cx="0" cy="371476"/>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39" name="直接连接符 38"/>
          <xdr:cNvCxnSpPr/>
        </xdr:nvCxnSpPr>
        <xdr:spPr>
          <a:xfrm>
            <a:off x="7901156" y="6686550"/>
            <a:ext cx="0" cy="3619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838201</xdr:colOff>
      <xdr:row>26</xdr:row>
      <xdr:rowOff>57150</xdr:rowOff>
    </xdr:from>
    <xdr:to>
      <xdr:col>12</xdr:col>
      <xdr:colOff>142876</xdr:colOff>
      <xdr:row>29</xdr:row>
      <xdr:rowOff>180975</xdr:rowOff>
    </xdr:to>
    <xdr:grpSp>
      <xdr:nvGrpSpPr>
        <xdr:cNvPr id="40" name="组合 39"/>
        <xdr:cNvGrpSpPr/>
      </xdr:nvGrpSpPr>
      <xdr:grpSpPr>
        <a:xfrm>
          <a:off x="8324851" y="4981575"/>
          <a:ext cx="2343150" cy="695325"/>
          <a:chOff x="9153525" y="7334250"/>
          <a:chExt cx="2562225" cy="857250"/>
        </a:xfrm>
      </xdr:grpSpPr>
      <xdr:sp macro="" textlink="">
        <xdr:nvSpPr>
          <xdr:cNvPr id="41" name="矩形 40"/>
          <xdr:cNvSpPr/>
        </xdr:nvSpPr>
        <xdr:spPr bwMode="auto">
          <a:xfrm>
            <a:off x="9153525" y="7334250"/>
            <a:ext cx="2105025" cy="438150"/>
          </a:xfrm>
          <a:prstGeom prst="rect">
            <a:avLst/>
          </a:prstGeom>
          <a:pattFill prst="pct60">
            <a:fgClr>
              <a:srgbClr val="92D050"/>
            </a:fgClr>
            <a:bgClr>
              <a:schemeClr val="bg1"/>
            </a:bgClr>
          </a:patt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zh-CN" altLang="en-US" sz="900" b="0" i="0" u="none" strike="noStrike" kern="0" cap="none" spc="0" normalizeH="0" baseline="0" noProof="0">
                <a:ln>
                  <a:noFill/>
                </a:ln>
                <a:solidFill>
                  <a:sysClr val="windowText" lastClr="000000"/>
                </a:solidFill>
                <a:effectLst/>
                <a:uLnTx/>
                <a:uFillTx/>
              </a:rPr>
              <a:t>焊印</a:t>
            </a:r>
          </a:p>
        </xdr:txBody>
      </xdr:sp>
      <xdr:cxnSp macro="">
        <xdr:nvCxnSpPr>
          <xdr:cNvPr id="42" name="直接箭头连接符 41"/>
          <xdr:cNvCxnSpPr/>
        </xdr:nvCxnSpPr>
        <xdr:spPr>
          <a:xfrm>
            <a:off x="9172575" y="7980907"/>
            <a:ext cx="2085975"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43" name="直接连接符 42"/>
          <xdr:cNvCxnSpPr/>
        </xdr:nvCxnSpPr>
        <xdr:spPr>
          <a:xfrm>
            <a:off x="9153525" y="7829550"/>
            <a:ext cx="0" cy="3619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44" name="直接连接符 43"/>
          <xdr:cNvCxnSpPr/>
        </xdr:nvCxnSpPr>
        <xdr:spPr>
          <a:xfrm>
            <a:off x="11258550" y="7810500"/>
            <a:ext cx="0" cy="3619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45" name="直接连接符 44"/>
          <xdr:cNvCxnSpPr/>
        </xdr:nvCxnSpPr>
        <xdr:spPr>
          <a:xfrm>
            <a:off x="11334750" y="7334250"/>
            <a:ext cx="381000"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46" name="直接连接符 45"/>
          <xdr:cNvCxnSpPr/>
        </xdr:nvCxnSpPr>
        <xdr:spPr>
          <a:xfrm>
            <a:off x="11315700" y="7762875"/>
            <a:ext cx="381000" cy="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47" name="直接箭头连接符 46"/>
          <xdr:cNvCxnSpPr/>
        </xdr:nvCxnSpPr>
        <xdr:spPr>
          <a:xfrm>
            <a:off x="11420475" y="7362825"/>
            <a:ext cx="0" cy="36195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0</xdr:col>
      <xdr:colOff>219075</xdr:colOff>
      <xdr:row>36</xdr:row>
      <xdr:rowOff>66675</xdr:rowOff>
    </xdr:from>
    <xdr:to>
      <xdr:col>8</xdr:col>
      <xdr:colOff>76200</xdr:colOff>
      <xdr:row>37</xdr:row>
      <xdr:rowOff>76200</xdr:rowOff>
    </xdr:to>
    <xdr:grpSp>
      <xdr:nvGrpSpPr>
        <xdr:cNvPr id="70" name="组合 69"/>
        <xdr:cNvGrpSpPr/>
      </xdr:nvGrpSpPr>
      <xdr:grpSpPr>
        <a:xfrm>
          <a:off x="219075" y="7058025"/>
          <a:ext cx="7343775" cy="200025"/>
          <a:chOff x="133350" y="10687050"/>
          <a:chExt cx="6686550" cy="200025"/>
        </a:xfrm>
      </xdr:grpSpPr>
      <xdr:sp macro="" textlink="">
        <xdr:nvSpPr>
          <xdr:cNvPr id="48" name="矩形 47"/>
          <xdr:cNvSpPr/>
        </xdr:nvSpPr>
        <xdr:spPr bwMode="auto">
          <a:xfrm>
            <a:off x="133350" y="10782300"/>
            <a:ext cx="6686550" cy="104775"/>
          </a:xfrm>
          <a:prstGeom prst="rect">
            <a:avLst/>
          </a:prstGeom>
          <a:solidFill>
            <a:srgbClr val="66FFCC"/>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endParaRPr lang="zh-CN" altLang="en-US" sz="1100"/>
          </a:p>
        </xdr:txBody>
      </xdr:sp>
      <xdr:sp macro="" textlink="">
        <xdr:nvSpPr>
          <xdr:cNvPr id="49" name="矩形 48"/>
          <xdr:cNvSpPr/>
        </xdr:nvSpPr>
        <xdr:spPr bwMode="auto">
          <a:xfrm>
            <a:off x="297610" y="10696575"/>
            <a:ext cx="503828" cy="85725"/>
          </a:xfrm>
          <a:prstGeom prst="rect">
            <a:avLst/>
          </a:prstGeom>
          <a:solidFill>
            <a:srgbClr val="00FFCC"/>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50" name="矩形 49"/>
          <xdr:cNvSpPr/>
        </xdr:nvSpPr>
        <xdr:spPr bwMode="auto">
          <a:xfrm>
            <a:off x="6174535" y="10687050"/>
            <a:ext cx="503828" cy="85725"/>
          </a:xfrm>
          <a:prstGeom prst="rect">
            <a:avLst/>
          </a:prstGeom>
          <a:solidFill>
            <a:srgbClr val="00FFCC"/>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51" name="矩形 50"/>
          <xdr:cNvSpPr/>
        </xdr:nvSpPr>
        <xdr:spPr bwMode="auto">
          <a:xfrm>
            <a:off x="6400800" y="10696575"/>
            <a:ext cx="45719" cy="85725"/>
          </a:xfrm>
          <a:prstGeom prst="rect">
            <a:avLst/>
          </a:prstGeom>
          <a:solidFill>
            <a:srgbClr val="FFFF00"/>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52" name="矩形 51"/>
          <xdr:cNvSpPr/>
        </xdr:nvSpPr>
        <xdr:spPr bwMode="auto">
          <a:xfrm>
            <a:off x="514350" y="10696575"/>
            <a:ext cx="45719" cy="85725"/>
          </a:xfrm>
          <a:prstGeom prst="rect">
            <a:avLst/>
          </a:prstGeom>
          <a:solidFill>
            <a:schemeClr val="bg1"/>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grpSp>
    <xdr:clientData/>
  </xdr:twoCellAnchor>
  <xdr:twoCellAnchor>
    <xdr:from>
      <xdr:col>5</xdr:col>
      <xdr:colOff>457183</xdr:colOff>
      <xdr:row>37</xdr:row>
      <xdr:rowOff>123825</xdr:rowOff>
    </xdr:from>
    <xdr:to>
      <xdr:col>7</xdr:col>
      <xdr:colOff>779612</xdr:colOff>
      <xdr:row>45</xdr:row>
      <xdr:rowOff>173244</xdr:rowOff>
    </xdr:to>
    <xdr:grpSp>
      <xdr:nvGrpSpPr>
        <xdr:cNvPr id="72" name="组合 71"/>
        <xdr:cNvGrpSpPr/>
      </xdr:nvGrpSpPr>
      <xdr:grpSpPr>
        <a:xfrm>
          <a:off x="5095858" y="7305675"/>
          <a:ext cx="2303629" cy="1611519"/>
          <a:chOff x="4713851" y="10906125"/>
          <a:chExt cx="2242737" cy="1611519"/>
        </a:xfrm>
      </xdr:grpSpPr>
      <xdr:grpSp>
        <xdr:nvGrpSpPr>
          <xdr:cNvPr id="64" name="组合 63"/>
          <xdr:cNvGrpSpPr/>
        </xdr:nvGrpSpPr>
        <xdr:grpSpPr>
          <a:xfrm>
            <a:off x="4713851" y="10906125"/>
            <a:ext cx="2242737" cy="1611519"/>
            <a:chOff x="4720842" y="8685006"/>
            <a:chExt cx="2152950" cy="1611519"/>
          </a:xfrm>
        </xdr:grpSpPr>
        <xdr:sp macro="" textlink="">
          <xdr:nvSpPr>
            <xdr:cNvPr id="65" name="矩形 64"/>
            <xdr:cNvSpPr/>
          </xdr:nvSpPr>
          <xdr:spPr bwMode="auto">
            <a:xfrm>
              <a:off x="6392385" y="8685006"/>
              <a:ext cx="481407" cy="469494"/>
            </a:xfrm>
            <a:prstGeom prst="rect">
              <a:avLst/>
            </a:prstGeom>
            <a:solidFill>
              <a:schemeClr val="accent6"/>
            </a:solidFill>
            <a:ln w="9525">
              <a:noFill/>
              <a:miter lim="800000"/>
              <a:headEnd/>
              <a:tailEnd/>
            </a:ln>
          </xdr:spPr>
          <xdr:txBody>
            <a:bodyPr vertOverflow="clip" horzOverflow="clip" rtlCol="0" anchor="t"/>
            <a:lstStyle/>
            <a:p>
              <a:pPr algn="l"/>
              <a:endParaRPr lang="zh-CN" altLang="en-US" sz="1100"/>
            </a:p>
          </xdr:txBody>
        </xdr:sp>
        <xdr:sp macro="" textlink="">
          <xdr:nvSpPr>
            <xdr:cNvPr id="66" name="矩形 65"/>
            <xdr:cNvSpPr/>
          </xdr:nvSpPr>
          <xdr:spPr bwMode="auto">
            <a:xfrm>
              <a:off x="4721810" y="9149247"/>
              <a:ext cx="1832855" cy="537678"/>
            </a:xfrm>
            <a:prstGeom prst="rect">
              <a:avLst/>
            </a:prstGeom>
            <a:solidFill>
              <a:schemeClr val="accent6"/>
            </a:solidFill>
            <a:ln w="9525">
              <a:noFill/>
              <a:miter lim="800000"/>
              <a:headEnd/>
              <a:tailEnd/>
            </a:ln>
          </xdr:spPr>
          <xdr:txBody>
            <a:bodyPr vertOverflow="clip" horzOverflow="clip" rtlCol="0" anchor="t"/>
            <a:lstStyle/>
            <a:p>
              <a:pPr algn="l"/>
              <a:endParaRPr lang="zh-CN" altLang="en-US" sz="1100"/>
            </a:p>
          </xdr:txBody>
        </xdr:sp>
        <xdr:sp macro="" textlink="">
          <xdr:nvSpPr>
            <xdr:cNvPr id="67" name="梯形 66"/>
            <xdr:cNvSpPr/>
          </xdr:nvSpPr>
          <xdr:spPr bwMode="auto">
            <a:xfrm>
              <a:off x="4720842" y="9354656"/>
              <a:ext cx="1780411" cy="941869"/>
            </a:xfrm>
            <a:prstGeom prst="trapezoid">
              <a:avLst/>
            </a:prstGeom>
            <a:solidFill>
              <a:schemeClr val="accent6">
                <a:lumMod val="60000"/>
                <a:lumOff val="4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endParaRPr lang="zh-CN" altLang="en-US" sz="1100"/>
            </a:p>
          </xdr:txBody>
        </xdr:sp>
        <xdr:sp macro="" textlink="">
          <xdr:nvSpPr>
            <xdr:cNvPr id="68" name="等腰三角形 67"/>
            <xdr:cNvSpPr/>
          </xdr:nvSpPr>
          <xdr:spPr bwMode="auto">
            <a:xfrm>
              <a:off x="6225754" y="8696324"/>
              <a:ext cx="315471" cy="536759"/>
            </a:xfrm>
            <a:prstGeom prst="triangle">
              <a:avLst/>
            </a:prstGeom>
            <a:solidFill>
              <a:schemeClr val="accent6"/>
            </a:solidFill>
            <a:ln w="9525">
              <a:solidFill>
                <a:schemeClr val="accent6"/>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69" name="矩形 68"/>
            <xdr:cNvSpPr/>
          </xdr:nvSpPr>
          <xdr:spPr bwMode="auto">
            <a:xfrm>
              <a:off x="5163796" y="9420225"/>
              <a:ext cx="906797" cy="190505"/>
            </a:xfrm>
            <a:prstGeom prst="rect">
              <a:avLst/>
            </a:prstGeom>
            <a:pattFill prst="pct60">
              <a:fgClr>
                <a:srgbClr val="92D050"/>
              </a:fgClr>
              <a:bgClr>
                <a:schemeClr val="bg1"/>
              </a:bgClr>
            </a:patt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endParaRPr lang="zh-CN" altLang="en-US" sz="900"/>
            </a:p>
          </xdr:txBody>
        </xdr:sp>
      </xdr:grpSp>
      <xdr:cxnSp macro="">
        <xdr:nvCxnSpPr>
          <xdr:cNvPr id="71" name="直接连接符 70"/>
          <xdr:cNvCxnSpPr/>
        </xdr:nvCxnSpPr>
        <xdr:spPr>
          <a:xfrm flipH="1">
            <a:off x="4867274" y="11896725"/>
            <a:ext cx="1704976" cy="0"/>
          </a:xfrm>
          <a:prstGeom prst="line">
            <a:avLst/>
          </a:prstGeom>
          <a:ln>
            <a:solidFill>
              <a:schemeClr val="accent6"/>
            </a:solidFill>
            <a:prstDash val="dash"/>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727711</xdr:colOff>
      <xdr:row>43</xdr:row>
      <xdr:rowOff>163830</xdr:rowOff>
    </xdr:from>
    <xdr:to>
      <xdr:col>4</xdr:col>
      <xdr:colOff>621030</xdr:colOff>
      <xdr:row>45</xdr:row>
      <xdr:rowOff>66440</xdr:rowOff>
    </xdr:to>
    <xdr:sp macro="" textlink="">
      <xdr:nvSpPr>
        <xdr:cNvPr id="73" name="TextBox 72"/>
        <xdr:cNvSpPr txBox="1"/>
      </xdr:nvSpPr>
      <xdr:spPr>
        <a:xfrm>
          <a:off x="3219451" y="8324850"/>
          <a:ext cx="777239" cy="268370"/>
        </a:xfrm>
        <a:prstGeom prst="rect">
          <a:avLst/>
        </a:prstGeom>
        <a:noFill/>
        <a:ln>
          <a:noFill/>
        </a:ln>
        <a:effectLst/>
      </xdr:spPr>
      <xdr:txBody>
        <a:bodyPr vertOverflow="clip" horzOverflow="clip" wrap="non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zh-CN" altLang="en-US" sz="900" b="0" i="0" u="none" strike="noStrike" kern="0" cap="none" spc="0" normalizeH="0" baseline="0" noProof="0">
              <a:ln>
                <a:noFill/>
              </a:ln>
              <a:solidFill>
                <a:sysClr val="windowText" lastClr="000000"/>
              </a:solidFill>
              <a:effectLst/>
              <a:uLnTx/>
              <a:uFillTx/>
              <a:latin typeface="Calibri"/>
              <a:ea typeface="宋体"/>
              <a:cs typeface="+mn-cs"/>
            </a:rPr>
            <a:t>极耳根部间距</a:t>
          </a:r>
          <a:r>
            <a:rPr kumimoji="0" lang="en-US" altLang="zh-CN" sz="900" b="0" i="0" u="none" strike="noStrike" kern="0" cap="none" spc="0" normalizeH="0" baseline="0" noProof="0">
              <a:ln>
                <a:noFill/>
              </a:ln>
              <a:solidFill>
                <a:sysClr val="windowText" lastClr="000000"/>
              </a:solidFill>
              <a:effectLst/>
              <a:uLnTx/>
              <a:uFillTx/>
              <a:latin typeface="Calibri"/>
              <a:ea typeface="宋体"/>
              <a:cs typeface="+mn-cs"/>
            </a:rPr>
            <a:t>=</a:t>
          </a:r>
          <a:endParaRPr kumimoji="0" lang="zh-CN" altLang="en-US" sz="900" b="0" i="0" u="none" strike="noStrike" kern="0" cap="none" spc="0" normalizeH="0" baseline="0" noProof="0">
            <a:ln>
              <a:noFill/>
            </a:ln>
            <a:solidFill>
              <a:sysClr val="windowText" lastClr="000000"/>
            </a:solidFill>
            <a:effectLst/>
            <a:uLnTx/>
            <a:uFillTx/>
            <a:latin typeface="Calibri"/>
            <a:ea typeface="宋体"/>
            <a:cs typeface="+mn-cs"/>
          </a:endParaRPr>
        </a:p>
      </xdr:txBody>
    </xdr:sp>
    <xdr:clientData/>
  </xdr:twoCellAnchor>
  <xdr:twoCellAnchor>
    <xdr:from>
      <xdr:col>3</xdr:col>
      <xdr:colOff>95250</xdr:colOff>
      <xdr:row>45</xdr:row>
      <xdr:rowOff>123825</xdr:rowOff>
    </xdr:from>
    <xdr:to>
      <xdr:col>5</xdr:col>
      <xdr:colOff>400050</xdr:colOff>
      <xdr:row>45</xdr:row>
      <xdr:rowOff>123825</xdr:rowOff>
    </xdr:to>
    <xdr:cxnSp macro="">
      <xdr:nvCxnSpPr>
        <xdr:cNvPr id="74" name="直接箭头连接符 73"/>
        <xdr:cNvCxnSpPr/>
      </xdr:nvCxnSpPr>
      <xdr:spPr>
        <a:xfrm>
          <a:off x="2867025" y="8867775"/>
          <a:ext cx="2171700" cy="0"/>
        </a:xfrm>
        <a:prstGeom prst="straightConnector1">
          <a:avLst/>
        </a:prstGeom>
        <a:noFill/>
        <a:ln w="9525" cap="flat" cmpd="sng" algn="ctr">
          <a:solidFill>
            <a:sysClr val="windowText" lastClr="000000"/>
          </a:solidFill>
          <a:prstDash val="solid"/>
          <a:headEnd type="arrow"/>
          <a:tailEnd type="arrow"/>
        </a:ln>
        <a:effectLst/>
      </xdr:spPr>
    </xdr:cxnSp>
    <xdr:clientData/>
  </xdr:twoCellAnchor>
  <xdr:twoCellAnchor>
    <xdr:from>
      <xdr:col>5</xdr:col>
      <xdr:colOff>47624</xdr:colOff>
      <xdr:row>37</xdr:row>
      <xdr:rowOff>95250</xdr:rowOff>
    </xdr:from>
    <xdr:to>
      <xdr:col>8</xdr:col>
      <xdr:colOff>76199</xdr:colOff>
      <xdr:row>38</xdr:row>
      <xdr:rowOff>60853</xdr:rowOff>
    </xdr:to>
    <xdr:grpSp>
      <xdr:nvGrpSpPr>
        <xdr:cNvPr id="81" name="组合 80"/>
        <xdr:cNvGrpSpPr/>
      </xdr:nvGrpSpPr>
      <xdr:grpSpPr>
        <a:xfrm>
          <a:off x="4686299" y="7277100"/>
          <a:ext cx="2876550" cy="156103"/>
          <a:chOff x="4088385" y="10944225"/>
          <a:chExt cx="2817240" cy="156103"/>
        </a:xfrm>
      </xdr:grpSpPr>
      <xdr:cxnSp macro="">
        <xdr:nvCxnSpPr>
          <xdr:cNvPr id="77" name="直接连接符 76"/>
          <xdr:cNvCxnSpPr/>
        </xdr:nvCxnSpPr>
        <xdr:spPr>
          <a:xfrm>
            <a:off x="4088385" y="10944225"/>
            <a:ext cx="2817240" cy="0"/>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78" name="矩形 77"/>
          <xdr:cNvSpPr/>
        </xdr:nvSpPr>
        <xdr:spPr bwMode="auto">
          <a:xfrm>
            <a:off x="6829425" y="10950046"/>
            <a:ext cx="76200" cy="150282"/>
          </a:xfrm>
          <a:prstGeom prst="rect">
            <a:avLst/>
          </a:prstGeom>
          <a:solidFill>
            <a:schemeClr val="tx1"/>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grpSp>
    <xdr:clientData/>
  </xdr:twoCellAnchor>
  <xdr:twoCellAnchor>
    <xdr:from>
      <xdr:col>0</xdr:col>
      <xdr:colOff>219075</xdr:colOff>
      <xdr:row>37</xdr:row>
      <xdr:rowOff>95237</xdr:rowOff>
    </xdr:from>
    <xdr:to>
      <xdr:col>3</xdr:col>
      <xdr:colOff>619126</xdr:colOff>
      <xdr:row>38</xdr:row>
      <xdr:rowOff>66662</xdr:rowOff>
    </xdr:to>
    <xdr:grpSp>
      <xdr:nvGrpSpPr>
        <xdr:cNvPr id="80" name="组合 79"/>
        <xdr:cNvGrpSpPr/>
      </xdr:nvGrpSpPr>
      <xdr:grpSpPr>
        <a:xfrm>
          <a:off x="219075" y="7277087"/>
          <a:ext cx="3171826" cy="161925"/>
          <a:chOff x="219075" y="10962628"/>
          <a:chExt cx="2819400" cy="150929"/>
        </a:xfrm>
      </xdr:grpSpPr>
      <xdr:cxnSp macro="">
        <xdr:nvCxnSpPr>
          <xdr:cNvPr id="76" name="直接连接符 75"/>
          <xdr:cNvCxnSpPr/>
        </xdr:nvCxnSpPr>
        <xdr:spPr>
          <a:xfrm>
            <a:off x="219075" y="10962628"/>
            <a:ext cx="2819400" cy="0"/>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79" name="矩形 78"/>
          <xdr:cNvSpPr/>
        </xdr:nvSpPr>
        <xdr:spPr bwMode="auto">
          <a:xfrm>
            <a:off x="219075" y="10963275"/>
            <a:ext cx="76200" cy="150282"/>
          </a:xfrm>
          <a:prstGeom prst="rect">
            <a:avLst/>
          </a:prstGeom>
          <a:solidFill>
            <a:schemeClr val="tx1"/>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grpSp>
    <xdr:clientData/>
  </xdr:twoCellAnchor>
  <xdr:twoCellAnchor>
    <xdr:from>
      <xdr:col>1</xdr:col>
      <xdr:colOff>126683</xdr:colOff>
      <xdr:row>37</xdr:row>
      <xdr:rowOff>133350</xdr:rowOff>
    </xdr:from>
    <xdr:to>
      <xdr:col>2</xdr:col>
      <xdr:colOff>6668</xdr:colOff>
      <xdr:row>37</xdr:row>
      <xdr:rowOff>133350</xdr:rowOff>
    </xdr:to>
    <xdr:cxnSp macro="">
      <xdr:nvCxnSpPr>
        <xdr:cNvPr id="83" name="直接连接符 82"/>
        <xdr:cNvCxnSpPr/>
      </xdr:nvCxnSpPr>
      <xdr:spPr>
        <a:xfrm>
          <a:off x="364808" y="10972800"/>
          <a:ext cx="565785" cy="0"/>
        </a:xfrm>
        <a:prstGeom prst="line">
          <a:avLst/>
        </a:prstGeom>
        <a:ln w="38100">
          <a:solidFill>
            <a:srgbClr val="00FFCC"/>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222218</xdr:colOff>
      <xdr:row>37</xdr:row>
      <xdr:rowOff>133350</xdr:rowOff>
    </xdr:from>
    <xdr:to>
      <xdr:col>7</xdr:col>
      <xdr:colOff>844582</xdr:colOff>
      <xdr:row>37</xdr:row>
      <xdr:rowOff>133350</xdr:rowOff>
    </xdr:to>
    <xdr:cxnSp macro="">
      <xdr:nvCxnSpPr>
        <xdr:cNvPr id="84" name="直接连接符 83"/>
        <xdr:cNvCxnSpPr/>
      </xdr:nvCxnSpPr>
      <xdr:spPr>
        <a:xfrm>
          <a:off x="6242018" y="10972800"/>
          <a:ext cx="622364" cy="0"/>
        </a:xfrm>
        <a:prstGeom prst="line">
          <a:avLst/>
        </a:prstGeom>
        <a:ln w="38100">
          <a:solidFill>
            <a:schemeClr val="accent6">
              <a:lumMod val="50000"/>
            </a:schemeClr>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390525</xdr:colOff>
      <xdr:row>37</xdr:row>
      <xdr:rowOff>152400</xdr:rowOff>
    </xdr:from>
    <xdr:to>
      <xdr:col>1</xdr:col>
      <xdr:colOff>390525</xdr:colOff>
      <xdr:row>39</xdr:row>
      <xdr:rowOff>9525</xdr:rowOff>
    </xdr:to>
    <xdr:cxnSp macro="">
      <xdr:nvCxnSpPr>
        <xdr:cNvPr id="120" name="直接连接符 119"/>
        <xdr:cNvCxnSpPr/>
      </xdr:nvCxnSpPr>
      <xdr:spPr>
        <a:xfrm>
          <a:off x="628650" y="10991850"/>
          <a:ext cx="0" cy="2381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180424</xdr:colOff>
      <xdr:row>38</xdr:row>
      <xdr:rowOff>123825</xdr:rowOff>
    </xdr:from>
    <xdr:to>
      <xdr:col>1</xdr:col>
      <xdr:colOff>396015</xdr:colOff>
      <xdr:row>38</xdr:row>
      <xdr:rowOff>123826</xdr:rowOff>
    </xdr:to>
    <xdr:cxnSp macro="">
      <xdr:nvCxnSpPr>
        <xdr:cNvPr id="121" name="直接箭头连接符 120"/>
        <xdr:cNvCxnSpPr/>
      </xdr:nvCxnSpPr>
      <xdr:spPr>
        <a:xfrm>
          <a:off x="418549" y="11153775"/>
          <a:ext cx="215591" cy="1"/>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19050</xdr:colOff>
      <xdr:row>6</xdr:row>
      <xdr:rowOff>190500</xdr:rowOff>
    </xdr:from>
    <xdr:to>
      <xdr:col>8</xdr:col>
      <xdr:colOff>114301</xdr:colOff>
      <xdr:row>8</xdr:row>
      <xdr:rowOff>169332</xdr:rowOff>
    </xdr:to>
    <xdr:grpSp>
      <xdr:nvGrpSpPr>
        <xdr:cNvPr id="146" name="组合 145"/>
        <xdr:cNvGrpSpPr/>
      </xdr:nvGrpSpPr>
      <xdr:grpSpPr>
        <a:xfrm>
          <a:off x="257175" y="1295400"/>
          <a:ext cx="7343776" cy="378882"/>
          <a:chOff x="257175" y="9229725"/>
          <a:chExt cx="6743701" cy="378882"/>
        </a:xfrm>
      </xdr:grpSpPr>
      <xdr:grpSp>
        <xdr:nvGrpSpPr>
          <xdr:cNvPr id="127" name="组合 126"/>
          <xdr:cNvGrpSpPr/>
        </xdr:nvGrpSpPr>
        <xdr:grpSpPr>
          <a:xfrm>
            <a:off x="257175" y="9229725"/>
            <a:ext cx="6743700" cy="200025"/>
            <a:chOff x="133350" y="10687050"/>
            <a:chExt cx="6686550" cy="200025"/>
          </a:xfrm>
        </xdr:grpSpPr>
        <xdr:sp macro="" textlink="">
          <xdr:nvSpPr>
            <xdr:cNvPr id="128" name="矩形 127"/>
            <xdr:cNvSpPr/>
          </xdr:nvSpPr>
          <xdr:spPr bwMode="auto">
            <a:xfrm>
              <a:off x="133350" y="10782300"/>
              <a:ext cx="6686550" cy="104775"/>
            </a:xfrm>
            <a:prstGeom prst="rect">
              <a:avLst/>
            </a:prstGeom>
            <a:solidFill>
              <a:srgbClr val="66FFCC"/>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endParaRPr lang="zh-CN" altLang="en-US" sz="1100"/>
            </a:p>
          </xdr:txBody>
        </xdr:sp>
        <xdr:sp macro="" textlink="">
          <xdr:nvSpPr>
            <xdr:cNvPr id="129" name="矩形 128"/>
            <xdr:cNvSpPr/>
          </xdr:nvSpPr>
          <xdr:spPr bwMode="auto">
            <a:xfrm>
              <a:off x="297610" y="10696575"/>
              <a:ext cx="503828" cy="85725"/>
            </a:xfrm>
            <a:prstGeom prst="rect">
              <a:avLst/>
            </a:prstGeom>
            <a:solidFill>
              <a:srgbClr val="00FFCC"/>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130" name="矩形 129"/>
            <xdr:cNvSpPr/>
          </xdr:nvSpPr>
          <xdr:spPr bwMode="auto">
            <a:xfrm>
              <a:off x="6174535" y="10687050"/>
              <a:ext cx="503828" cy="85725"/>
            </a:xfrm>
            <a:prstGeom prst="rect">
              <a:avLst/>
            </a:prstGeom>
            <a:solidFill>
              <a:srgbClr val="00FFCC"/>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131" name="矩形 130"/>
            <xdr:cNvSpPr/>
          </xdr:nvSpPr>
          <xdr:spPr bwMode="auto">
            <a:xfrm>
              <a:off x="6400800" y="10696575"/>
              <a:ext cx="45719" cy="85725"/>
            </a:xfrm>
            <a:prstGeom prst="rect">
              <a:avLst/>
            </a:prstGeom>
            <a:solidFill>
              <a:srgbClr val="FFFF00"/>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132" name="矩形 131"/>
            <xdr:cNvSpPr/>
          </xdr:nvSpPr>
          <xdr:spPr bwMode="auto">
            <a:xfrm>
              <a:off x="514350" y="10696575"/>
              <a:ext cx="45719" cy="85725"/>
            </a:xfrm>
            <a:prstGeom prst="rect">
              <a:avLst/>
            </a:prstGeom>
            <a:solidFill>
              <a:schemeClr val="bg1"/>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139" name="组合 138"/>
          <xdr:cNvGrpSpPr/>
        </xdr:nvGrpSpPr>
        <xdr:grpSpPr>
          <a:xfrm>
            <a:off x="4114801" y="9448800"/>
            <a:ext cx="2886075" cy="156103"/>
            <a:chOff x="4079057" y="10944225"/>
            <a:chExt cx="2826568" cy="156103"/>
          </a:xfrm>
        </xdr:grpSpPr>
        <xdr:cxnSp macro="">
          <xdr:nvCxnSpPr>
            <xdr:cNvPr id="140" name="直接连接符 139"/>
            <xdr:cNvCxnSpPr/>
          </xdr:nvCxnSpPr>
          <xdr:spPr>
            <a:xfrm>
              <a:off x="4079057" y="10944225"/>
              <a:ext cx="2826568" cy="0"/>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141" name="矩形 140"/>
            <xdr:cNvSpPr/>
          </xdr:nvSpPr>
          <xdr:spPr bwMode="auto">
            <a:xfrm>
              <a:off x="6829425" y="10950046"/>
              <a:ext cx="76200" cy="150282"/>
            </a:xfrm>
            <a:prstGeom prst="rect">
              <a:avLst/>
            </a:prstGeom>
            <a:solidFill>
              <a:schemeClr val="tx1"/>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142" name="组合 141"/>
          <xdr:cNvGrpSpPr/>
        </xdr:nvGrpSpPr>
        <xdr:grpSpPr>
          <a:xfrm>
            <a:off x="257175" y="9448800"/>
            <a:ext cx="2819400" cy="159807"/>
            <a:chOff x="219075" y="10953750"/>
            <a:chExt cx="2819400" cy="159807"/>
          </a:xfrm>
        </xdr:grpSpPr>
        <xdr:cxnSp macro="">
          <xdr:nvCxnSpPr>
            <xdr:cNvPr id="143" name="直接连接符 142"/>
            <xdr:cNvCxnSpPr/>
          </xdr:nvCxnSpPr>
          <xdr:spPr>
            <a:xfrm>
              <a:off x="219075" y="10953750"/>
              <a:ext cx="2819400" cy="0"/>
            </a:xfrm>
            <a:prstGeom prst="line">
              <a:avLst/>
            </a:prstGeom>
            <a:ln w="28575">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144" name="矩形 143"/>
            <xdr:cNvSpPr/>
          </xdr:nvSpPr>
          <xdr:spPr bwMode="auto">
            <a:xfrm>
              <a:off x="219075" y="10963275"/>
              <a:ext cx="76200" cy="150282"/>
            </a:xfrm>
            <a:prstGeom prst="rect">
              <a:avLst/>
            </a:prstGeom>
            <a:solidFill>
              <a:schemeClr val="tx1"/>
            </a:solid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xdr:spPr>
          <xdr:txBody>
            <a:bodyPr vertOverflow="clip" horzOverflow="clip" rtlCol="0" anchor="t"/>
            <a:lstStyle/>
            <a:p>
              <a:pPr algn="l"/>
              <a:endParaRPr lang="zh-CN" altLang="en-US" sz="1100"/>
            </a:p>
          </xdr:txBody>
        </xdr:sp>
      </xdr:grpSp>
      <xdr:cxnSp macro="">
        <xdr:nvCxnSpPr>
          <xdr:cNvPr id="145" name="直接连接符 144"/>
          <xdr:cNvCxnSpPr/>
        </xdr:nvCxnSpPr>
        <xdr:spPr>
          <a:xfrm>
            <a:off x="6267450" y="9486900"/>
            <a:ext cx="622364" cy="0"/>
          </a:xfrm>
          <a:prstGeom prst="line">
            <a:avLst/>
          </a:prstGeom>
          <a:ln w="38100">
            <a:solidFill>
              <a:schemeClr val="accent6">
                <a:lumMod val="50000"/>
              </a:schemeClr>
            </a:solidFill>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447675</xdr:colOff>
      <xdr:row>8</xdr:row>
      <xdr:rowOff>37194</xdr:rowOff>
    </xdr:from>
    <xdr:to>
      <xdr:col>1</xdr:col>
      <xdr:colOff>447675</xdr:colOff>
      <xdr:row>10</xdr:row>
      <xdr:rowOff>123825</xdr:rowOff>
    </xdr:to>
    <xdr:cxnSp macro="">
      <xdr:nvCxnSpPr>
        <xdr:cNvPr id="151" name="直接连接符 150"/>
        <xdr:cNvCxnSpPr/>
      </xdr:nvCxnSpPr>
      <xdr:spPr>
        <a:xfrm>
          <a:off x="685800" y="1542144"/>
          <a:ext cx="0" cy="420006"/>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495300</xdr:colOff>
      <xdr:row>9</xdr:row>
      <xdr:rowOff>152400</xdr:rowOff>
    </xdr:from>
    <xdr:to>
      <xdr:col>3</xdr:col>
      <xdr:colOff>542925</xdr:colOff>
      <xdr:row>9</xdr:row>
      <xdr:rowOff>152400</xdr:rowOff>
    </xdr:to>
    <xdr:cxnSp macro="">
      <xdr:nvCxnSpPr>
        <xdr:cNvPr id="158" name="直接箭头连接符 157"/>
        <xdr:cNvCxnSpPr/>
      </xdr:nvCxnSpPr>
      <xdr:spPr>
        <a:xfrm>
          <a:off x="733425" y="1828800"/>
          <a:ext cx="2581275" cy="0"/>
        </a:xfrm>
        <a:prstGeom prst="straightConnector1">
          <a:avLst/>
        </a:prstGeom>
        <a:noFill/>
        <a:ln w="9525" cap="flat" cmpd="sng" algn="ctr">
          <a:solidFill>
            <a:sysClr val="windowText" lastClr="000000"/>
          </a:solidFill>
          <a:prstDash val="solid"/>
          <a:headEnd type="arrow"/>
          <a:tailEnd type="arrow"/>
        </a:ln>
        <a:effectLst/>
      </xdr:spPr>
    </xdr:cxnSp>
    <xdr:clientData/>
  </xdr:twoCellAnchor>
  <xdr:twoCellAnchor>
    <xdr:from>
      <xdr:col>3</xdr:col>
      <xdr:colOff>542925</xdr:colOff>
      <xdr:row>8</xdr:row>
      <xdr:rowOff>28575</xdr:rowOff>
    </xdr:from>
    <xdr:to>
      <xdr:col>3</xdr:col>
      <xdr:colOff>542925</xdr:colOff>
      <xdr:row>10</xdr:row>
      <xdr:rowOff>76200</xdr:rowOff>
    </xdr:to>
    <xdr:cxnSp macro="">
      <xdr:nvCxnSpPr>
        <xdr:cNvPr id="160" name="直接连接符 159"/>
        <xdr:cNvCxnSpPr/>
      </xdr:nvCxnSpPr>
      <xdr:spPr>
        <a:xfrm>
          <a:off x="3314700" y="1533525"/>
          <a:ext cx="0" cy="381000"/>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171450</xdr:colOff>
      <xdr:row>8</xdr:row>
      <xdr:rowOff>38100</xdr:rowOff>
    </xdr:from>
    <xdr:to>
      <xdr:col>5</xdr:col>
      <xdr:colOff>171450</xdr:colOff>
      <xdr:row>10</xdr:row>
      <xdr:rowOff>180975</xdr:rowOff>
    </xdr:to>
    <xdr:cxnSp macro="">
      <xdr:nvCxnSpPr>
        <xdr:cNvPr id="162" name="直接连接符 161"/>
        <xdr:cNvCxnSpPr/>
      </xdr:nvCxnSpPr>
      <xdr:spPr>
        <a:xfrm>
          <a:off x="4381500" y="1543050"/>
          <a:ext cx="0" cy="476250"/>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219075</xdr:colOff>
      <xdr:row>10</xdr:row>
      <xdr:rowOff>57150</xdr:rowOff>
    </xdr:from>
    <xdr:to>
      <xdr:col>7</xdr:col>
      <xdr:colOff>533400</xdr:colOff>
      <xdr:row>10</xdr:row>
      <xdr:rowOff>57150</xdr:rowOff>
    </xdr:to>
    <xdr:cxnSp macro="">
      <xdr:nvCxnSpPr>
        <xdr:cNvPr id="163" name="直接箭头连接符 162"/>
        <xdr:cNvCxnSpPr/>
      </xdr:nvCxnSpPr>
      <xdr:spPr>
        <a:xfrm>
          <a:off x="4429125" y="1895475"/>
          <a:ext cx="2295525" cy="0"/>
        </a:xfrm>
        <a:prstGeom prst="straightConnector1">
          <a:avLst/>
        </a:prstGeom>
        <a:noFill/>
        <a:ln w="9525" cap="flat" cmpd="sng" algn="ctr">
          <a:solidFill>
            <a:sysClr val="windowText" lastClr="000000"/>
          </a:solidFill>
          <a:prstDash val="solid"/>
          <a:headEnd type="arrow"/>
          <a:tailEnd type="arrow"/>
        </a:ln>
        <a:effectLst/>
      </xdr:spPr>
    </xdr:cxnSp>
    <xdr:clientData/>
  </xdr:twoCellAnchor>
  <xdr:twoCellAnchor>
    <xdr:from>
      <xdr:col>7</xdr:col>
      <xdr:colOff>581025</xdr:colOff>
      <xdr:row>8</xdr:row>
      <xdr:rowOff>76200</xdr:rowOff>
    </xdr:from>
    <xdr:to>
      <xdr:col>7</xdr:col>
      <xdr:colOff>581025</xdr:colOff>
      <xdr:row>11</xdr:row>
      <xdr:rowOff>9525</xdr:rowOff>
    </xdr:to>
    <xdr:cxnSp macro="">
      <xdr:nvCxnSpPr>
        <xdr:cNvPr id="172" name="直接连接符 171"/>
        <xdr:cNvCxnSpPr/>
      </xdr:nvCxnSpPr>
      <xdr:spPr>
        <a:xfrm>
          <a:off x="6772275" y="1581150"/>
          <a:ext cx="0" cy="457200"/>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857250</xdr:colOff>
      <xdr:row>5</xdr:row>
      <xdr:rowOff>123825</xdr:rowOff>
    </xdr:from>
    <xdr:to>
      <xdr:col>7</xdr:col>
      <xdr:colOff>857250</xdr:colOff>
      <xdr:row>8</xdr:row>
      <xdr:rowOff>57150</xdr:rowOff>
    </xdr:to>
    <xdr:cxnSp macro="">
      <xdr:nvCxnSpPr>
        <xdr:cNvPr id="175" name="直接连接符 174"/>
        <xdr:cNvCxnSpPr/>
      </xdr:nvCxnSpPr>
      <xdr:spPr>
        <a:xfrm>
          <a:off x="6877050" y="9001125"/>
          <a:ext cx="0" cy="495300"/>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209550</xdr:colOff>
      <xdr:row>6</xdr:row>
      <xdr:rowOff>57150</xdr:rowOff>
    </xdr:from>
    <xdr:to>
      <xdr:col>7</xdr:col>
      <xdr:colOff>209550</xdr:colOff>
      <xdr:row>8</xdr:row>
      <xdr:rowOff>57150</xdr:rowOff>
    </xdr:to>
    <xdr:cxnSp macro="">
      <xdr:nvCxnSpPr>
        <xdr:cNvPr id="176" name="直接连接符 175"/>
        <xdr:cNvCxnSpPr/>
      </xdr:nvCxnSpPr>
      <xdr:spPr>
        <a:xfrm>
          <a:off x="6600825" y="1162050"/>
          <a:ext cx="0" cy="400050"/>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238125</xdr:colOff>
      <xdr:row>6</xdr:row>
      <xdr:rowOff>152400</xdr:rowOff>
    </xdr:from>
    <xdr:to>
      <xdr:col>7</xdr:col>
      <xdr:colOff>847725</xdr:colOff>
      <xdr:row>6</xdr:row>
      <xdr:rowOff>152400</xdr:rowOff>
    </xdr:to>
    <xdr:cxnSp macro="">
      <xdr:nvCxnSpPr>
        <xdr:cNvPr id="177" name="直接箭头连接符 176"/>
        <xdr:cNvCxnSpPr/>
      </xdr:nvCxnSpPr>
      <xdr:spPr>
        <a:xfrm>
          <a:off x="6257925" y="1257300"/>
          <a:ext cx="609600" cy="0"/>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676275</xdr:colOff>
      <xdr:row>31</xdr:row>
      <xdr:rowOff>28575</xdr:rowOff>
    </xdr:from>
    <xdr:to>
      <xdr:col>12</xdr:col>
      <xdr:colOff>428625</xdr:colOff>
      <xdr:row>37</xdr:row>
      <xdr:rowOff>152400</xdr:rowOff>
    </xdr:to>
    <xdr:grpSp>
      <xdr:nvGrpSpPr>
        <xdr:cNvPr id="82" name="组合 81"/>
        <xdr:cNvGrpSpPr/>
      </xdr:nvGrpSpPr>
      <xdr:grpSpPr>
        <a:xfrm>
          <a:off x="9010650" y="5905500"/>
          <a:ext cx="1943100" cy="1428750"/>
          <a:chOff x="7458075" y="10467975"/>
          <a:chExt cx="1943100" cy="1238250"/>
        </a:xfrm>
      </xdr:grpSpPr>
      <xdr:grpSp>
        <xdr:nvGrpSpPr>
          <xdr:cNvPr id="181" name="组合 180"/>
          <xdr:cNvGrpSpPr/>
        </xdr:nvGrpSpPr>
        <xdr:grpSpPr>
          <a:xfrm>
            <a:off x="7524750" y="10496551"/>
            <a:ext cx="1866900" cy="1085850"/>
            <a:chOff x="5324475" y="12934951"/>
            <a:chExt cx="1866900" cy="1085850"/>
          </a:xfrm>
        </xdr:grpSpPr>
        <xdr:grpSp>
          <xdr:nvGrpSpPr>
            <xdr:cNvPr id="126" name="组合 125"/>
            <xdr:cNvGrpSpPr/>
          </xdr:nvGrpSpPr>
          <xdr:grpSpPr>
            <a:xfrm>
              <a:off x="5324475" y="12934951"/>
              <a:ext cx="1600200" cy="1085850"/>
              <a:chOff x="5524500" y="13087350"/>
              <a:chExt cx="1504950" cy="1408140"/>
            </a:xfrm>
          </xdr:grpSpPr>
          <xdr:pic>
            <xdr:nvPicPr>
              <xdr:cNvPr id="122" name="图片 121"/>
              <xdr:cNvPicPr>
                <a:picLocks noChangeAspect="1"/>
              </xdr:cNvPicPr>
            </xdr:nvPicPr>
            <xdr:blipFill>
              <a:blip xmlns:r="http://schemas.openxmlformats.org/officeDocument/2006/relationships" r:embed="rId1"/>
              <a:stretch>
                <a:fillRect/>
              </a:stretch>
            </xdr:blipFill>
            <xdr:spPr>
              <a:xfrm>
                <a:off x="5524500" y="13087350"/>
                <a:ext cx="1504950" cy="1408140"/>
              </a:xfrm>
              <a:prstGeom prst="rect">
                <a:avLst/>
              </a:prstGeom>
            </xdr:spPr>
          </xdr:pic>
          <xdr:cxnSp macro="">
            <xdr:nvCxnSpPr>
              <xdr:cNvPr id="123" name="直接箭头连接符 122"/>
              <xdr:cNvCxnSpPr/>
            </xdr:nvCxnSpPr>
            <xdr:spPr>
              <a:xfrm>
                <a:off x="6048033" y="14106525"/>
                <a:ext cx="178175" cy="1"/>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25" name="直接连接符 124"/>
              <xdr:cNvCxnSpPr/>
            </xdr:nvCxnSpPr>
            <xdr:spPr>
              <a:xfrm>
                <a:off x="6229350" y="13944600"/>
                <a:ext cx="0" cy="2476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grpSp>
        <xdr:sp macro="" textlink="">
          <xdr:nvSpPr>
            <xdr:cNvPr id="180" name="TextBox 179"/>
            <xdr:cNvSpPr txBox="1"/>
          </xdr:nvSpPr>
          <xdr:spPr>
            <a:xfrm>
              <a:off x="5829300" y="13839825"/>
              <a:ext cx="1362075" cy="142875"/>
            </a:xfrm>
            <a:prstGeom prst="rect">
              <a:avLst/>
            </a:prstGeom>
            <a:noFill/>
            <a:ln>
              <a:noFill/>
            </a:ln>
            <a:effectLst/>
          </xdr:spPr>
          <xdr:txBody>
            <a:bodyPr vertOverflow="clip" horzOverflow="clip" wrap="none" rtlCol="0" anchor="ctr">
              <a:noAutofit/>
            </a:bodyP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zh-CN" altLang="en-US" sz="1000" b="0" i="0" u="none" strike="noStrike" kern="0" cap="none" spc="0" normalizeH="0" baseline="0" noProof="0">
                  <a:ln>
                    <a:noFill/>
                  </a:ln>
                  <a:solidFill>
                    <a:sysClr val="windowText" lastClr="000000"/>
                  </a:solidFill>
                  <a:effectLst/>
                  <a:uLnTx/>
                  <a:uFillTx/>
                  <a:latin typeface="+mn-lt"/>
                  <a:ea typeface="+mn-ea"/>
                  <a:cs typeface="+mn-cs"/>
                </a:rPr>
                <a:t>软连接距极柱边缘距离</a:t>
              </a:r>
            </a:p>
          </xdr:txBody>
        </xdr:sp>
      </xdr:grpSp>
      <xdr:sp macro="" textlink="">
        <xdr:nvSpPr>
          <xdr:cNvPr id="75" name="矩形 74"/>
          <xdr:cNvSpPr/>
        </xdr:nvSpPr>
        <xdr:spPr bwMode="auto">
          <a:xfrm>
            <a:off x="7458075" y="10467975"/>
            <a:ext cx="1943100" cy="1238250"/>
          </a:xfrm>
          <a:prstGeom prst="rect">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grpSp>
    <xdr:clientData/>
  </xdr:twoCellAnchor>
  <xdr:twoCellAnchor>
    <xdr:from>
      <xdr:col>7</xdr:col>
      <xdr:colOff>609600</xdr:colOff>
      <xdr:row>35</xdr:row>
      <xdr:rowOff>161925</xdr:rowOff>
    </xdr:from>
    <xdr:to>
      <xdr:col>8</xdr:col>
      <xdr:colOff>238125</xdr:colOff>
      <xdr:row>38</xdr:row>
      <xdr:rowOff>95250</xdr:rowOff>
    </xdr:to>
    <xdr:sp macro="" textlink="">
      <xdr:nvSpPr>
        <xdr:cNvPr id="85" name="矩形 84"/>
        <xdr:cNvSpPr/>
      </xdr:nvSpPr>
      <xdr:spPr bwMode="auto">
        <a:xfrm>
          <a:off x="6629400" y="10668000"/>
          <a:ext cx="495300" cy="504825"/>
        </a:xfrm>
        <a:prstGeom prst="rect">
          <a:avLst/>
        </a:prstGeom>
        <a:noFill/>
        <a:ln w="9525">
          <a:solidFill>
            <a:srgbClr xmlns:mc="http://schemas.openxmlformats.org/markup-compatibility/2006" xmlns:a14="http://schemas.microsoft.com/office/drawing/2010/main" val="000000" mc:Ignorable="a14" a14:legacySpreadsheetColorIndex="64"/>
          </a:solidFill>
          <a:prstDash val="dash"/>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clientData/>
  </xdr:twoCellAnchor>
  <xdr:twoCellAnchor>
    <xdr:from>
      <xdr:col>8</xdr:col>
      <xdr:colOff>228600</xdr:colOff>
      <xdr:row>37</xdr:row>
      <xdr:rowOff>161925</xdr:rowOff>
    </xdr:from>
    <xdr:to>
      <xdr:col>9</xdr:col>
      <xdr:colOff>695325</xdr:colOff>
      <xdr:row>38</xdr:row>
      <xdr:rowOff>95250</xdr:rowOff>
    </xdr:to>
    <xdr:cxnSp macro="">
      <xdr:nvCxnSpPr>
        <xdr:cNvPr id="95" name="直接连接符 94"/>
        <xdr:cNvCxnSpPr/>
      </xdr:nvCxnSpPr>
      <xdr:spPr>
        <a:xfrm flipV="1">
          <a:off x="7115175" y="7124700"/>
          <a:ext cx="1314450" cy="123825"/>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238125</xdr:colOff>
      <xdr:row>31</xdr:row>
      <xdr:rowOff>28575</xdr:rowOff>
    </xdr:from>
    <xdr:to>
      <xdr:col>9</xdr:col>
      <xdr:colOff>685800</xdr:colOff>
      <xdr:row>35</xdr:row>
      <xdr:rowOff>161926</xdr:rowOff>
    </xdr:to>
    <xdr:cxnSp macro="">
      <xdr:nvCxnSpPr>
        <xdr:cNvPr id="100" name="直接连接符 99"/>
        <xdr:cNvCxnSpPr/>
      </xdr:nvCxnSpPr>
      <xdr:spPr>
        <a:xfrm flipV="1">
          <a:off x="7124700" y="5905500"/>
          <a:ext cx="1295400" cy="1057276"/>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123825</xdr:colOff>
      <xdr:row>39</xdr:row>
      <xdr:rowOff>171450</xdr:rowOff>
    </xdr:from>
    <xdr:to>
      <xdr:col>14</xdr:col>
      <xdr:colOff>400050</xdr:colOff>
      <xdr:row>47</xdr:row>
      <xdr:rowOff>133350</xdr:rowOff>
    </xdr:to>
    <xdr:sp macro="" textlink="">
      <xdr:nvSpPr>
        <xdr:cNvPr id="152" name="矩形 151"/>
        <xdr:cNvSpPr/>
      </xdr:nvSpPr>
      <xdr:spPr bwMode="auto">
        <a:xfrm>
          <a:off x="7858125" y="7734300"/>
          <a:ext cx="4057650" cy="1524000"/>
        </a:xfrm>
        <a:prstGeom prst="rect">
          <a:avLst/>
        </a:prstGeom>
        <a:no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clientData/>
  </xdr:twoCellAnchor>
  <xdr:twoCellAnchor>
    <xdr:from>
      <xdr:col>5</xdr:col>
      <xdr:colOff>276225</xdr:colOff>
      <xdr:row>40</xdr:row>
      <xdr:rowOff>180975</xdr:rowOff>
    </xdr:from>
    <xdr:to>
      <xdr:col>7</xdr:col>
      <xdr:colOff>628650</xdr:colOff>
      <xdr:row>46</xdr:row>
      <xdr:rowOff>28575</xdr:rowOff>
    </xdr:to>
    <xdr:sp macro="" textlink="">
      <xdr:nvSpPr>
        <xdr:cNvPr id="161" name="矩形 160"/>
        <xdr:cNvSpPr/>
      </xdr:nvSpPr>
      <xdr:spPr bwMode="auto">
        <a:xfrm>
          <a:off x="4314825" y="4124325"/>
          <a:ext cx="2333625" cy="1028700"/>
        </a:xfrm>
        <a:prstGeom prst="rect">
          <a:avLst/>
        </a:prstGeom>
        <a:noFill/>
        <a:ln w="9525">
          <a:solidFill>
            <a:sysClr val="windowText" lastClr="000000"/>
          </a:solidFill>
          <a:prstDash val="dash"/>
          <a:round/>
          <a:headEnd type="stealth" w="med" len="med"/>
          <a:tailEnd type="stealth" w="med" len="med"/>
        </a:ln>
        <a:extLst>
          <a:ext uri="{909E8E84-426E-40DD-AFC4-6F175D3DCCD1}">
            <a14:hiddenFill xmlns:a14="http://schemas.microsoft.com/office/drawing/2010/main">
              <a:noFill/>
            </a14:hiddenFill>
          </a:ext>
        </a:extLst>
      </xdr:spPr>
      <xdr:txBody>
        <a:bodyPr vertOverflow="clip" horzOverflow="clip" rtlCol="0" anchor="t"/>
        <a:lstStyle/>
        <a:p>
          <a:pPr algn="l"/>
          <a:endParaRPr lang="zh-CN" altLang="en-US" sz="1100"/>
        </a:p>
      </xdr:txBody>
    </xdr:sp>
    <xdr:clientData/>
  </xdr:twoCellAnchor>
  <xdr:twoCellAnchor>
    <xdr:from>
      <xdr:col>7</xdr:col>
      <xdr:colOff>628650</xdr:colOff>
      <xdr:row>39</xdr:row>
      <xdr:rowOff>152400</xdr:rowOff>
    </xdr:from>
    <xdr:to>
      <xdr:col>9</xdr:col>
      <xdr:colOff>152400</xdr:colOff>
      <xdr:row>40</xdr:row>
      <xdr:rowOff>180975</xdr:rowOff>
    </xdr:to>
    <xdr:cxnSp macro="">
      <xdr:nvCxnSpPr>
        <xdr:cNvPr id="179" name="直接连接符 178"/>
        <xdr:cNvCxnSpPr/>
      </xdr:nvCxnSpPr>
      <xdr:spPr>
        <a:xfrm flipV="1">
          <a:off x="6648450" y="3905250"/>
          <a:ext cx="1238250" cy="219075"/>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638175</xdr:colOff>
      <xdr:row>46</xdr:row>
      <xdr:rowOff>19050</xdr:rowOff>
    </xdr:from>
    <xdr:to>
      <xdr:col>9</xdr:col>
      <xdr:colOff>133350</xdr:colOff>
      <xdr:row>47</xdr:row>
      <xdr:rowOff>133350</xdr:rowOff>
    </xdr:to>
    <xdr:cxnSp macro="">
      <xdr:nvCxnSpPr>
        <xdr:cNvPr id="182" name="直接连接符 181"/>
        <xdr:cNvCxnSpPr/>
      </xdr:nvCxnSpPr>
      <xdr:spPr>
        <a:xfrm>
          <a:off x="6657975" y="8953500"/>
          <a:ext cx="1209675" cy="304800"/>
        </a:xfrm>
        <a:prstGeom prst="line">
          <a:avLst/>
        </a:prstGeom>
        <a:ln>
          <a:solidFill>
            <a:schemeClr val="tx1"/>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76201</xdr:colOff>
      <xdr:row>40</xdr:row>
      <xdr:rowOff>9521</xdr:rowOff>
    </xdr:from>
    <xdr:to>
      <xdr:col>14</xdr:col>
      <xdr:colOff>361950</xdr:colOff>
      <xdr:row>46</xdr:row>
      <xdr:rowOff>142871</xdr:rowOff>
    </xdr:to>
    <xdr:grpSp>
      <xdr:nvGrpSpPr>
        <xdr:cNvPr id="184" name="组合 183"/>
        <xdr:cNvGrpSpPr/>
      </xdr:nvGrpSpPr>
      <xdr:grpSpPr>
        <a:xfrm>
          <a:off x="8410576" y="7762871"/>
          <a:ext cx="4067174" cy="1314450"/>
          <a:chOff x="7810501" y="7535227"/>
          <a:chExt cx="4067174" cy="1380173"/>
        </a:xfrm>
      </xdr:grpSpPr>
      <xdr:grpSp>
        <xdr:nvGrpSpPr>
          <xdr:cNvPr id="149" name="组合 148"/>
          <xdr:cNvGrpSpPr/>
        </xdr:nvGrpSpPr>
        <xdr:grpSpPr>
          <a:xfrm>
            <a:off x="7810501" y="7535227"/>
            <a:ext cx="4067174" cy="1360017"/>
            <a:chOff x="7534276" y="7744777"/>
            <a:chExt cx="4067174" cy="1360017"/>
          </a:xfrm>
        </xdr:grpSpPr>
        <xdr:sp macro="" textlink="">
          <xdr:nvSpPr>
            <xdr:cNvPr id="157" name="梯形 156"/>
            <xdr:cNvSpPr/>
          </xdr:nvSpPr>
          <xdr:spPr bwMode="auto">
            <a:xfrm>
              <a:off x="8686800" y="8124825"/>
              <a:ext cx="2141383" cy="941869"/>
            </a:xfrm>
            <a:prstGeom prst="trapezoid">
              <a:avLst/>
            </a:prstGeom>
            <a:solidFill>
              <a:schemeClr val="accent6">
                <a:lumMod val="60000"/>
                <a:lumOff val="4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endParaRPr lang="zh-CN" altLang="en-US" sz="1100"/>
            </a:p>
          </xdr:txBody>
        </xdr:sp>
        <xdr:sp macro="" textlink="">
          <xdr:nvSpPr>
            <xdr:cNvPr id="159" name="梯形 158"/>
            <xdr:cNvSpPr/>
          </xdr:nvSpPr>
          <xdr:spPr bwMode="auto">
            <a:xfrm>
              <a:off x="8239125" y="8162925"/>
              <a:ext cx="2141383" cy="941869"/>
            </a:xfrm>
            <a:prstGeom prst="trapezoid">
              <a:avLst/>
            </a:prstGeom>
            <a:solidFill>
              <a:schemeClr val="accent6">
                <a:lumMod val="60000"/>
                <a:lumOff val="40000"/>
              </a:schemeClr>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endParaRPr lang="zh-CN" altLang="en-US" sz="1100"/>
            </a:p>
          </xdr:txBody>
        </xdr:sp>
        <xdr:sp macro="" textlink="">
          <xdr:nvSpPr>
            <xdr:cNvPr id="155" name="梯形 154"/>
            <xdr:cNvSpPr/>
          </xdr:nvSpPr>
          <xdr:spPr bwMode="auto">
            <a:xfrm>
              <a:off x="8486775" y="8143875"/>
              <a:ext cx="2141383" cy="941869"/>
            </a:xfrm>
            <a:prstGeom prst="trapezoid">
              <a:avLst/>
            </a:prstGeom>
            <a:solidFill>
              <a:schemeClr val="accent6">
                <a:lumMod val="60000"/>
                <a:lumOff val="40000"/>
              </a:schemeClr>
            </a:solidFill>
            <a:ln w="19050">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endParaRPr lang="zh-CN" altLang="en-US" sz="1100"/>
            </a:p>
          </xdr:txBody>
        </xdr:sp>
        <xdr:sp macro="" textlink="">
          <xdr:nvSpPr>
            <xdr:cNvPr id="156" name="矩形 155"/>
            <xdr:cNvSpPr/>
          </xdr:nvSpPr>
          <xdr:spPr bwMode="auto">
            <a:xfrm>
              <a:off x="9140176" y="8238019"/>
              <a:ext cx="801868" cy="190505"/>
            </a:xfrm>
            <a:prstGeom prst="rect">
              <a:avLst/>
            </a:prstGeom>
            <a:pattFill prst="pct60">
              <a:fgClr>
                <a:srgbClr val="92D050"/>
              </a:fgClr>
              <a:bgClr>
                <a:schemeClr val="bg1"/>
              </a:bgClr>
            </a:patt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horzOverflow="clip" rtlCol="0" anchor="t"/>
            <a:lstStyle/>
            <a:p>
              <a:pPr algn="l"/>
              <a:endParaRPr lang="zh-CN" altLang="en-US" sz="900"/>
            </a:p>
          </xdr:txBody>
        </xdr:sp>
        <xdr:grpSp>
          <xdr:nvGrpSpPr>
            <xdr:cNvPr id="138" name="组合 137"/>
            <xdr:cNvGrpSpPr/>
          </xdr:nvGrpSpPr>
          <xdr:grpSpPr>
            <a:xfrm>
              <a:off x="8924925" y="7989483"/>
              <a:ext cx="1200150" cy="133724"/>
              <a:chOff x="8924925" y="7989483"/>
              <a:chExt cx="1200150" cy="133724"/>
            </a:xfrm>
          </xdr:grpSpPr>
          <xdr:cxnSp macro="">
            <xdr:nvCxnSpPr>
              <xdr:cNvPr id="164" name="直接连接符 163"/>
              <xdr:cNvCxnSpPr/>
            </xdr:nvCxnSpPr>
            <xdr:spPr>
              <a:xfrm>
                <a:off x="10125075" y="7993093"/>
                <a:ext cx="0" cy="13011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165" name="直接连接符 164"/>
              <xdr:cNvCxnSpPr/>
            </xdr:nvCxnSpPr>
            <xdr:spPr>
              <a:xfrm>
                <a:off x="8924925" y="7989483"/>
                <a:ext cx="0" cy="11828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166" name="直接箭头连接符 165"/>
              <xdr:cNvCxnSpPr/>
            </xdr:nvCxnSpPr>
            <xdr:spPr>
              <a:xfrm>
                <a:off x="8982075" y="8048626"/>
                <a:ext cx="1120192" cy="0"/>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grpSp>
        <xdr:cxnSp macro="">
          <xdr:nvCxnSpPr>
            <xdr:cNvPr id="124" name="直接箭头连接符 123"/>
            <xdr:cNvCxnSpPr/>
          </xdr:nvCxnSpPr>
          <xdr:spPr>
            <a:xfrm>
              <a:off x="10687050" y="8372475"/>
              <a:ext cx="238125" cy="171450"/>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cxnSp macro="">
          <xdr:nvCxnSpPr>
            <xdr:cNvPr id="169" name="直接箭头连接符 168"/>
            <xdr:cNvCxnSpPr/>
          </xdr:nvCxnSpPr>
          <xdr:spPr>
            <a:xfrm flipH="1" flipV="1">
              <a:off x="8120476" y="8511140"/>
              <a:ext cx="198283" cy="132245"/>
            </a:xfrm>
            <a:prstGeom prst="straightConnector1">
              <a:avLst/>
            </a:prstGeom>
            <a:ln>
              <a:solidFill>
                <a:sysClr val="windowText" lastClr="000000"/>
              </a:solidFill>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36" name="TextBox 135"/>
            <xdr:cNvSpPr txBox="1"/>
          </xdr:nvSpPr>
          <xdr:spPr>
            <a:xfrm>
              <a:off x="7534276" y="8277224"/>
              <a:ext cx="847724" cy="2381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zh-CN" altLang="en-US" sz="800"/>
                <a:t>左侧最大错位</a:t>
              </a:r>
            </a:p>
          </xdr:txBody>
        </xdr:sp>
        <xdr:sp macro="" textlink="">
          <xdr:nvSpPr>
            <xdr:cNvPr id="178" name="TextBox 177"/>
            <xdr:cNvSpPr txBox="1"/>
          </xdr:nvSpPr>
          <xdr:spPr>
            <a:xfrm>
              <a:off x="10801350" y="8562975"/>
              <a:ext cx="800100" cy="20955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zh-CN" altLang="en-US" sz="800"/>
                <a:t>右侧最大错位</a:t>
              </a:r>
            </a:p>
          </xdr:txBody>
        </xdr:sp>
        <xdr:sp macro="" textlink="">
          <xdr:nvSpPr>
            <xdr:cNvPr id="137" name="TextBox 136"/>
            <xdr:cNvSpPr txBox="1"/>
          </xdr:nvSpPr>
          <xdr:spPr>
            <a:xfrm>
              <a:off x="9105900" y="7744777"/>
              <a:ext cx="1485900" cy="2381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zh-CN" altLang="en-US" sz="800"/>
                <a:t>极耳重叠区</a:t>
              </a:r>
            </a:p>
          </xdr:txBody>
        </xdr:sp>
      </xdr:grpSp>
      <xdr:cxnSp macro="">
        <xdr:nvCxnSpPr>
          <xdr:cNvPr id="111" name="直接连接符 110"/>
          <xdr:cNvCxnSpPr/>
        </xdr:nvCxnSpPr>
        <xdr:spPr>
          <a:xfrm flipH="1">
            <a:off x="8953500" y="7953375"/>
            <a:ext cx="238125" cy="962025"/>
          </a:xfrm>
          <a:prstGeom prst="line">
            <a:avLst/>
          </a:prstGeom>
          <a:ln>
            <a:prstDash val="sysDash"/>
          </a:ln>
        </xdr:spPr>
        <xdr:style>
          <a:lnRef idx="1">
            <a:schemeClr val="accent1"/>
          </a:lnRef>
          <a:fillRef idx="0">
            <a:schemeClr val="accent1"/>
          </a:fillRef>
          <a:effectRef idx="0">
            <a:schemeClr val="accent1"/>
          </a:effectRef>
          <a:fontRef idx="minor">
            <a:schemeClr val="tx1"/>
          </a:fontRef>
        </xdr:style>
      </xdr:cxnSp>
      <xdr:cxnSp macro="">
        <xdr:nvCxnSpPr>
          <xdr:cNvPr id="105" name="直接连接符 104"/>
          <xdr:cNvCxnSpPr/>
        </xdr:nvCxnSpPr>
        <xdr:spPr>
          <a:xfrm>
            <a:off x="10424821" y="7943850"/>
            <a:ext cx="252704" cy="952500"/>
          </a:xfrm>
          <a:prstGeom prst="line">
            <a:avLst/>
          </a:prstGeom>
          <a:ln>
            <a:solidFill>
              <a:schemeClr val="accent1"/>
            </a:solidFill>
            <a:prstDash val="sysDash"/>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133350</xdr:colOff>
      <xdr:row>37</xdr:row>
      <xdr:rowOff>142875</xdr:rowOff>
    </xdr:from>
    <xdr:to>
      <xdr:col>1</xdr:col>
      <xdr:colOff>438150</xdr:colOff>
      <xdr:row>38</xdr:row>
      <xdr:rowOff>114300</xdr:rowOff>
    </xdr:to>
    <xdr:sp macro="" textlink="">
      <xdr:nvSpPr>
        <xdr:cNvPr id="187" name="TextBox 186"/>
        <xdr:cNvSpPr txBox="1"/>
      </xdr:nvSpPr>
      <xdr:spPr>
        <a:xfrm>
          <a:off x="371475" y="3514725"/>
          <a:ext cx="304800" cy="161925"/>
        </a:xfrm>
        <a:prstGeom prst="rect">
          <a:avLst/>
        </a:prstGeom>
        <a:noFill/>
        <a:ln>
          <a:noFill/>
        </a:ln>
        <a:effectLst/>
      </xdr:spPr>
      <xdr:txBody>
        <a:bodyPr vertOverflow="clip" horzOverflow="clip" wrap="none" rtlCol="0" anchor="ctr">
          <a:no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altLang="zh-CN" sz="1000" b="0" i="0" u="none" strike="noStrike" kern="0" cap="none" spc="0" normalizeH="0" baseline="0" noProof="0">
              <a:ln>
                <a:noFill/>
              </a:ln>
              <a:solidFill>
                <a:sysClr val="windowText" lastClr="000000"/>
              </a:solidFill>
              <a:effectLst/>
              <a:uLnTx/>
              <a:uFillTx/>
              <a:latin typeface="Calibri"/>
              <a:ea typeface="宋体"/>
              <a:cs typeface="+mn-cs"/>
            </a:rPr>
            <a:t>L4</a:t>
          </a:r>
          <a:endParaRPr kumimoji="0" lang="zh-CN" altLang="en-US" sz="1000" b="0" i="0" u="none" strike="noStrike" kern="0" cap="none" spc="0" normalizeH="0" baseline="0" noProof="0">
            <a:ln>
              <a:noFill/>
            </a:ln>
            <a:solidFill>
              <a:sysClr val="windowText" lastClr="000000"/>
            </a:solidFill>
            <a:effectLst/>
            <a:uLnTx/>
            <a:uFillTx/>
            <a:latin typeface="Calibri"/>
            <a:ea typeface="宋体"/>
            <a:cs typeface="+mn-cs"/>
          </a:endParaRPr>
        </a:p>
      </xdr:txBody>
    </xdr:sp>
    <xdr:clientData/>
  </xdr:twoCellAnchor>
  <xdr:twoCellAnchor>
    <xdr:from>
      <xdr:col>1</xdr:col>
      <xdr:colOff>447675</xdr:colOff>
      <xdr:row>4</xdr:row>
      <xdr:rowOff>19050</xdr:rowOff>
    </xdr:from>
    <xdr:to>
      <xdr:col>1</xdr:col>
      <xdr:colOff>447675</xdr:colOff>
      <xdr:row>6</xdr:row>
      <xdr:rowOff>104775</xdr:rowOff>
    </xdr:to>
    <xdr:cxnSp macro="">
      <xdr:nvCxnSpPr>
        <xdr:cNvPr id="188" name="直接连接符 187"/>
        <xdr:cNvCxnSpPr/>
      </xdr:nvCxnSpPr>
      <xdr:spPr>
        <a:xfrm>
          <a:off x="685800" y="866775"/>
          <a:ext cx="0" cy="34290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571500</xdr:colOff>
      <xdr:row>4</xdr:row>
      <xdr:rowOff>9525</xdr:rowOff>
    </xdr:from>
    <xdr:to>
      <xdr:col>7</xdr:col>
      <xdr:colOff>571500</xdr:colOff>
      <xdr:row>6</xdr:row>
      <xdr:rowOff>123825</xdr:rowOff>
    </xdr:to>
    <xdr:cxnSp macro="">
      <xdr:nvCxnSpPr>
        <xdr:cNvPr id="189" name="直接连接符 188"/>
        <xdr:cNvCxnSpPr/>
      </xdr:nvCxnSpPr>
      <xdr:spPr>
        <a:xfrm>
          <a:off x="6962775" y="857250"/>
          <a:ext cx="0" cy="37147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466725</xdr:colOff>
      <xdr:row>6</xdr:row>
      <xdr:rowOff>0</xdr:rowOff>
    </xdr:from>
    <xdr:to>
      <xdr:col>7</xdr:col>
      <xdr:colOff>542925</xdr:colOff>
      <xdr:row>6</xdr:row>
      <xdr:rowOff>0</xdr:rowOff>
    </xdr:to>
    <xdr:cxnSp macro="">
      <xdr:nvCxnSpPr>
        <xdr:cNvPr id="190" name="直接箭头连接符 189"/>
        <xdr:cNvCxnSpPr/>
      </xdr:nvCxnSpPr>
      <xdr:spPr>
        <a:xfrm>
          <a:off x="704850" y="1104900"/>
          <a:ext cx="5857875" cy="0"/>
        </a:xfrm>
        <a:prstGeom prst="straightConnector1">
          <a:avLst/>
        </a:prstGeom>
        <a:noFill/>
        <a:ln w="9525" cap="flat" cmpd="sng" algn="ctr">
          <a:solidFill>
            <a:sysClr val="windowText" lastClr="000000"/>
          </a:solidFill>
          <a:prstDash val="solid"/>
          <a:headEnd type="arrow"/>
          <a:tailEnd type="arrow"/>
        </a:ln>
        <a:effectLst/>
      </xdr:spPr>
    </xdr:cxnSp>
    <xdr:clientData/>
  </xdr:twoCellAnchor>
  <xdr:twoCellAnchor>
    <xdr:from>
      <xdr:col>8</xdr:col>
      <xdr:colOff>0</xdr:colOff>
      <xdr:row>6</xdr:row>
      <xdr:rowOff>152400</xdr:rowOff>
    </xdr:from>
    <xdr:to>
      <xdr:col>8</xdr:col>
      <xdr:colOff>676275</xdr:colOff>
      <xdr:row>6</xdr:row>
      <xdr:rowOff>152400</xdr:rowOff>
    </xdr:to>
    <xdr:cxnSp macro="">
      <xdr:nvCxnSpPr>
        <xdr:cNvPr id="194" name="直接连接符 193"/>
        <xdr:cNvCxnSpPr/>
      </xdr:nvCxnSpPr>
      <xdr:spPr>
        <a:xfrm>
          <a:off x="6886575" y="1257300"/>
          <a:ext cx="676275" cy="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790575</xdr:colOff>
      <xdr:row>5</xdr:row>
      <xdr:rowOff>114299</xdr:rowOff>
    </xdr:from>
    <xdr:to>
      <xdr:col>8</xdr:col>
      <xdr:colOff>819150</xdr:colOff>
      <xdr:row>6</xdr:row>
      <xdr:rowOff>161924</xdr:rowOff>
    </xdr:to>
    <xdr:sp macro="" textlink="">
      <xdr:nvSpPr>
        <xdr:cNvPr id="195" name="TextBox 194"/>
        <xdr:cNvSpPr txBox="1"/>
      </xdr:nvSpPr>
      <xdr:spPr>
        <a:xfrm>
          <a:off x="6810375" y="1047749"/>
          <a:ext cx="895350" cy="219075"/>
        </a:xfrm>
        <a:prstGeom prst="rect">
          <a:avLst/>
        </a:prstGeom>
        <a:noFill/>
        <a:ln>
          <a:noFill/>
        </a:ln>
        <a:effectLst/>
      </xdr:spPr>
      <xdr:txBody>
        <a:bodyPr vertOverflow="clip" horzOverflow="clip" wrap="none" rtlCol="0" anchor="t">
          <a:noAutofit/>
        </a:bodyP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zh-CN" altLang="en-US" sz="800" b="0" i="0" u="none" strike="noStrike" kern="0" cap="none" spc="0" normalizeH="0" baseline="0" noProof="0">
              <a:ln>
                <a:noFill/>
              </a:ln>
              <a:solidFill>
                <a:sysClr val="windowText" lastClr="000000"/>
              </a:solidFill>
              <a:effectLst/>
              <a:uLnTx/>
              <a:uFillTx/>
              <a:latin typeface="Calibri" pitchFamily="34" charset="0"/>
              <a:ea typeface="宋体"/>
              <a:cs typeface="+mn-cs"/>
            </a:rPr>
            <a:t>极柱下表面宽度</a:t>
          </a:r>
        </a:p>
      </xdr:txBody>
    </xdr:sp>
    <xdr:clientData/>
  </xdr:twoCellAnchor>
  <xdr:twoCellAnchor>
    <xdr:from>
      <xdr:col>3</xdr:col>
      <xdr:colOff>790575</xdr:colOff>
      <xdr:row>4</xdr:row>
      <xdr:rowOff>28575</xdr:rowOff>
    </xdr:from>
    <xdr:to>
      <xdr:col>4</xdr:col>
      <xdr:colOff>561975</xdr:colOff>
      <xdr:row>5</xdr:row>
      <xdr:rowOff>152400</xdr:rowOff>
    </xdr:to>
    <xdr:sp macro="" textlink="">
      <xdr:nvSpPr>
        <xdr:cNvPr id="197" name="TextBox 196"/>
        <xdr:cNvSpPr txBox="1"/>
      </xdr:nvSpPr>
      <xdr:spPr>
        <a:xfrm>
          <a:off x="2962275" y="876300"/>
          <a:ext cx="752475" cy="209550"/>
        </a:xfrm>
        <a:prstGeom prst="rect">
          <a:avLst/>
        </a:prstGeom>
        <a:noFill/>
        <a:ln>
          <a:noFill/>
        </a:ln>
        <a:effectLst/>
      </xdr:spPr>
      <xdr:txBody>
        <a:bodyPr vertOverflow="clip" horzOverflow="clip" wrap="none" rtlCol="0" anchor="t">
          <a:noAutofit/>
        </a:bodyP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rPr>
            <a:t>极柱中心距</a:t>
          </a:r>
        </a:p>
      </xdr:txBody>
    </xdr:sp>
    <xdr:clientData/>
  </xdr:twoCellAnchor>
  <xdr:twoCellAnchor>
    <xdr:from>
      <xdr:col>5</xdr:col>
      <xdr:colOff>71438</xdr:colOff>
      <xdr:row>8</xdr:row>
      <xdr:rowOff>57150</xdr:rowOff>
    </xdr:from>
    <xdr:to>
      <xdr:col>5</xdr:col>
      <xdr:colOff>176213</xdr:colOff>
      <xdr:row>8</xdr:row>
      <xdr:rowOff>57150</xdr:rowOff>
    </xdr:to>
    <xdr:cxnSp macro="">
      <xdr:nvCxnSpPr>
        <xdr:cNvPr id="216" name="直接连接符 215"/>
        <xdr:cNvCxnSpPr/>
      </xdr:nvCxnSpPr>
      <xdr:spPr>
        <a:xfrm>
          <a:off x="4110038" y="1562100"/>
          <a:ext cx="104775" cy="0"/>
        </a:xfrm>
        <a:prstGeom prst="line">
          <a:avLst/>
        </a:prstGeom>
        <a:ln w="5715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457200</xdr:colOff>
      <xdr:row>8</xdr:row>
      <xdr:rowOff>57150</xdr:rowOff>
    </xdr:from>
    <xdr:to>
      <xdr:col>3</xdr:col>
      <xdr:colOff>561975</xdr:colOff>
      <xdr:row>8</xdr:row>
      <xdr:rowOff>57150</xdr:rowOff>
    </xdr:to>
    <xdr:cxnSp macro="">
      <xdr:nvCxnSpPr>
        <xdr:cNvPr id="217" name="直接连接符 216"/>
        <xdr:cNvCxnSpPr/>
      </xdr:nvCxnSpPr>
      <xdr:spPr>
        <a:xfrm>
          <a:off x="3228975" y="1562100"/>
          <a:ext cx="104775" cy="0"/>
        </a:xfrm>
        <a:prstGeom prst="line">
          <a:avLst/>
        </a:prstGeom>
        <a:ln w="5715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533400</xdr:colOff>
      <xdr:row>37</xdr:row>
      <xdr:rowOff>123825</xdr:rowOff>
    </xdr:from>
    <xdr:to>
      <xdr:col>3</xdr:col>
      <xdr:colOff>638175</xdr:colOff>
      <xdr:row>37</xdr:row>
      <xdr:rowOff>123825</xdr:rowOff>
    </xdr:to>
    <xdr:cxnSp macro="">
      <xdr:nvCxnSpPr>
        <xdr:cNvPr id="219" name="直接连接符 218"/>
        <xdr:cNvCxnSpPr/>
      </xdr:nvCxnSpPr>
      <xdr:spPr>
        <a:xfrm>
          <a:off x="3305175" y="7305675"/>
          <a:ext cx="104775" cy="0"/>
        </a:xfrm>
        <a:prstGeom prst="line">
          <a:avLst/>
        </a:prstGeom>
        <a:ln w="5715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47625</xdr:colOff>
      <xdr:row>37</xdr:row>
      <xdr:rowOff>142875</xdr:rowOff>
    </xdr:from>
    <xdr:to>
      <xdr:col>5</xdr:col>
      <xdr:colOff>152400</xdr:colOff>
      <xdr:row>37</xdr:row>
      <xdr:rowOff>142875</xdr:rowOff>
    </xdr:to>
    <xdr:cxnSp macro="">
      <xdr:nvCxnSpPr>
        <xdr:cNvPr id="220" name="直接连接符 219"/>
        <xdr:cNvCxnSpPr/>
      </xdr:nvCxnSpPr>
      <xdr:spPr>
        <a:xfrm>
          <a:off x="4086225" y="3514725"/>
          <a:ext cx="104775" cy="0"/>
        </a:xfrm>
        <a:prstGeom prst="line">
          <a:avLst/>
        </a:prstGeom>
        <a:ln w="57150">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90682</xdr:colOff>
      <xdr:row>19</xdr:row>
      <xdr:rowOff>66675</xdr:rowOff>
    </xdr:from>
    <xdr:to>
      <xdr:col>1</xdr:col>
      <xdr:colOff>472615</xdr:colOff>
      <xdr:row>19</xdr:row>
      <xdr:rowOff>66676</xdr:rowOff>
    </xdr:to>
    <xdr:cxnSp macro="">
      <xdr:nvCxnSpPr>
        <xdr:cNvPr id="223" name="直接箭头连接符 222"/>
        <xdr:cNvCxnSpPr/>
      </xdr:nvCxnSpPr>
      <xdr:spPr>
        <a:xfrm>
          <a:off x="328807" y="3657600"/>
          <a:ext cx="381933" cy="1"/>
        </a:xfrm>
        <a:prstGeom prst="straightConnector1">
          <a:avLst/>
        </a:prstGeom>
        <a:ln>
          <a:solidFill>
            <a:schemeClr val="tx1"/>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85725</xdr:colOff>
      <xdr:row>18</xdr:row>
      <xdr:rowOff>28575</xdr:rowOff>
    </xdr:from>
    <xdr:to>
      <xdr:col>1</xdr:col>
      <xdr:colOff>390525</xdr:colOff>
      <xdr:row>19</xdr:row>
      <xdr:rowOff>0</xdr:rowOff>
    </xdr:to>
    <xdr:sp macro="" textlink="">
      <xdr:nvSpPr>
        <xdr:cNvPr id="225" name="TextBox 224"/>
        <xdr:cNvSpPr txBox="1"/>
      </xdr:nvSpPr>
      <xdr:spPr>
        <a:xfrm>
          <a:off x="323850" y="6296025"/>
          <a:ext cx="304800" cy="161925"/>
        </a:xfrm>
        <a:prstGeom prst="rect">
          <a:avLst/>
        </a:prstGeom>
        <a:noFill/>
        <a:ln>
          <a:noFill/>
        </a:ln>
        <a:effectLst/>
      </xdr:spPr>
      <xdr:txBody>
        <a:bodyPr vertOverflow="clip" horzOverflow="clip" wrap="none" rtlCol="0" anchor="ctr">
          <a:noAutofit/>
        </a:bodyPr>
        <a:lstStyle/>
        <a:p>
          <a:pPr marL="0" marR="0" lvl="0" indent="0" algn="ctr" defTabSz="914400" eaLnBrk="1" fontAlgn="auto" latinLnBrk="0" hangingPunct="1">
            <a:lnSpc>
              <a:spcPct val="100000"/>
            </a:lnSpc>
            <a:spcBef>
              <a:spcPts val="0"/>
            </a:spcBef>
            <a:spcAft>
              <a:spcPts val="0"/>
            </a:spcAft>
            <a:buClrTx/>
            <a:buSzTx/>
            <a:buFontTx/>
            <a:buNone/>
            <a:tabLst/>
            <a:defRPr/>
          </a:pPr>
          <a:r>
            <a:rPr kumimoji="0" lang="en-US" altLang="zh-CN" sz="800" b="0" i="0" u="none" strike="noStrike" kern="0" cap="none" spc="0" normalizeH="0" baseline="0" noProof="0">
              <a:ln>
                <a:noFill/>
              </a:ln>
              <a:solidFill>
                <a:sysClr val="windowText" lastClr="000000"/>
              </a:solidFill>
              <a:effectLst/>
              <a:uLnTx/>
              <a:uFillTx/>
              <a:latin typeface="Calibri"/>
              <a:ea typeface="宋体"/>
              <a:cs typeface="+mn-cs"/>
            </a:rPr>
            <a:t>L3</a:t>
          </a:r>
          <a:endPar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endParaRPr>
        </a:p>
      </xdr:txBody>
    </xdr:sp>
    <xdr:clientData/>
  </xdr:twoCellAnchor>
  <xdr:twoCellAnchor>
    <xdr:from>
      <xdr:col>3</xdr:col>
      <xdr:colOff>600076</xdr:colOff>
      <xdr:row>14</xdr:row>
      <xdr:rowOff>19050</xdr:rowOff>
    </xdr:from>
    <xdr:to>
      <xdr:col>5</xdr:col>
      <xdr:colOff>847725</xdr:colOff>
      <xdr:row>22</xdr:row>
      <xdr:rowOff>19050</xdr:rowOff>
    </xdr:to>
    <xdr:grpSp>
      <xdr:nvGrpSpPr>
        <xdr:cNvPr id="249" name="组合 248"/>
        <xdr:cNvGrpSpPr/>
      </xdr:nvGrpSpPr>
      <xdr:grpSpPr>
        <a:xfrm>
          <a:off x="3371851" y="2657475"/>
          <a:ext cx="2114549" cy="1524000"/>
          <a:chOff x="3124201" y="5524500"/>
          <a:chExt cx="2114549" cy="1524000"/>
        </a:xfrm>
      </xdr:grpSpPr>
      <xdr:sp macro="" textlink="">
        <xdr:nvSpPr>
          <xdr:cNvPr id="242" name="TextBox 241"/>
          <xdr:cNvSpPr txBox="1"/>
        </xdr:nvSpPr>
        <xdr:spPr>
          <a:xfrm>
            <a:off x="3152775" y="5524500"/>
            <a:ext cx="600076" cy="390525"/>
          </a:xfrm>
          <a:prstGeom prst="rect">
            <a:avLst/>
          </a:prstGeom>
          <a:noFill/>
          <a:ln>
            <a:noFill/>
          </a:ln>
          <a:effectLst/>
        </xdr:spPr>
        <xdr:txBody>
          <a:bodyPr vertOverflow="clip" horzOverflow="clip" wrap="non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rPr>
              <a:t>上宽</a:t>
            </a:r>
            <a:endParaRPr kumimoji="0" lang="en-US" altLang="zh-CN" sz="800" b="0" i="0" u="none" strike="noStrike" kern="0" cap="none" spc="0" normalizeH="0" baseline="0" noProof="0">
              <a:ln>
                <a:noFill/>
              </a:ln>
              <a:solidFill>
                <a:sysClr val="windowText" lastClr="000000"/>
              </a:solidFill>
              <a:effectLst/>
              <a:uLnTx/>
              <a:uFillTx/>
              <a:latin typeface="Calibri"/>
              <a:ea typeface="宋体"/>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kumimoji="0" lang="en-US" altLang="zh-CN" sz="800" b="0" i="0" u="none" strike="noStrike" kern="0" cap="none" spc="0" normalizeH="0" baseline="0" noProof="0">
                <a:ln>
                  <a:noFill/>
                </a:ln>
                <a:solidFill>
                  <a:sysClr val="windowText" lastClr="000000"/>
                </a:solidFill>
                <a:effectLst/>
                <a:uLnTx/>
                <a:uFillTx/>
                <a:latin typeface="Calibri"/>
                <a:ea typeface="宋体"/>
                <a:cs typeface="+mn-cs"/>
              </a:rPr>
              <a:t>L1=L3</a:t>
            </a:r>
            <a:endPar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endParaRPr>
          </a:p>
        </xdr:txBody>
      </xdr:sp>
      <xdr:grpSp>
        <xdr:nvGrpSpPr>
          <xdr:cNvPr id="233" name="组合 232"/>
          <xdr:cNvGrpSpPr/>
        </xdr:nvGrpSpPr>
        <xdr:grpSpPr>
          <a:xfrm>
            <a:off x="3124201" y="5943600"/>
            <a:ext cx="2114549" cy="809625"/>
            <a:chOff x="3048001" y="5781675"/>
            <a:chExt cx="2114549" cy="809625"/>
          </a:xfrm>
        </xdr:grpSpPr>
        <xdr:sp macro="" textlink="">
          <xdr:nvSpPr>
            <xdr:cNvPr id="231" name="矩形 230"/>
            <xdr:cNvSpPr/>
          </xdr:nvSpPr>
          <xdr:spPr bwMode="auto">
            <a:xfrm>
              <a:off x="3048001" y="5991225"/>
              <a:ext cx="504824" cy="419100"/>
            </a:xfrm>
            <a:prstGeom prst="rec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zh-CN" altLang="en-US" sz="1100"/>
            </a:p>
          </xdr:txBody>
        </xdr:sp>
        <xdr:sp macro="" textlink="">
          <xdr:nvSpPr>
            <xdr:cNvPr id="232" name="矩形 231"/>
            <xdr:cNvSpPr/>
          </xdr:nvSpPr>
          <xdr:spPr bwMode="auto">
            <a:xfrm>
              <a:off x="3562350" y="5781675"/>
              <a:ext cx="1600200" cy="809625"/>
            </a:xfrm>
            <a:prstGeom prst="rec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zh-CN" altLang="en-US" sz="1100"/>
            </a:p>
          </xdr:txBody>
        </xdr:sp>
      </xdr:grpSp>
      <xdr:cxnSp macro="">
        <xdr:nvCxnSpPr>
          <xdr:cNvPr id="234" name="直接箭头连接符 233"/>
          <xdr:cNvCxnSpPr/>
        </xdr:nvCxnSpPr>
        <xdr:spPr>
          <a:xfrm>
            <a:off x="3179299" y="6955126"/>
            <a:ext cx="1994828"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238" name="直接连接符 237"/>
          <xdr:cNvCxnSpPr/>
        </xdr:nvCxnSpPr>
        <xdr:spPr>
          <a:xfrm>
            <a:off x="3133725" y="6619875"/>
            <a:ext cx="0" cy="4286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240" name="直接连接符 239"/>
          <xdr:cNvCxnSpPr/>
        </xdr:nvCxnSpPr>
        <xdr:spPr>
          <a:xfrm>
            <a:off x="5238750" y="6791325"/>
            <a:ext cx="0" cy="251404"/>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241" name="TextBox 240"/>
          <xdr:cNvSpPr txBox="1"/>
        </xdr:nvSpPr>
        <xdr:spPr>
          <a:xfrm>
            <a:off x="3752851" y="6724650"/>
            <a:ext cx="470858" cy="219075"/>
          </a:xfrm>
          <a:prstGeom prst="rect">
            <a:avLst/>
          </a:prstGeom>
          <a:noFill/>
          <a:ln>
            <a:noFill/>
          </a:ln>
          <a:effectLst/>
        </xdr:spPr>
        <xdr:txBody>
          <a:bodyPr vertOverflow="clip" horzOverflow="clip" wrap="non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rPr>
              <a:t>下宽</a:t>
            </a:r>
            <a:r>
              <a:rPr kumimoji="0" lang="en-US" altLang="zh-CN" sz="800" b="0" i="0" u="none" strike="noStrike" kern="0" cap="none" spc="0" normalizeH="0" baseline="0" noProof="0">
                <a:ln>
                  <a:noFill/>
                </a:ln>
                <a:solidFill>
                  <a:sysClr val="windowText" lastClr="000000"/>
                </a:solidFill>
                <a:effectLst/>
                <a:uLnTx/>
                <a:uFillTx/>
                <a:latin typeface="Calibri"/>
                <a:ea typeface="宋体"/>
                <a:cs typeface="+mn-cs"/>
              </a:rPr>
              <a:t>L2</a:t>
            </a:r>
            <a:endPar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endParaRPr>
          </a:p>
        </xdr:txBody>
      </xdr:sp>
      <xdr:cxnSp macro="">
        <xdr:nvCxnSpPr>
          <xdr:cNvPr id="243" name="直接连接符 242"/>
          <xdr:cNvCxnSpPr/>
        </xdr:nvCxnSpPr>
        <xdr:spPr>
          <a:xfrm>
            <a:off x="3648075" y="5772150"/>
            <a:ext cx="0" cy="15324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244" name="直接连接符 243"/>
          <xdr:cNvCxnSpPr/>
        </xdr:nvCxnSpPr>
        <xdr:spPr>
          <a:xfrm>
            <a:off x="3133725" y="5772150"/>
            <a:ext cx="0" cy="3524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xnSp macro="">
        <xdr:nvCxnSpPr>
          <xdr:cNvPr id="246" name="直接箭头连接符 245"/>
          <xdr:cNvCxnSpPr/>
        </xdr:nvCxnSpPr>
        <xdr:spPr>
          <a:xfrm>
            <a:off x="3129958" y="5895975"/>
            <a:ext cx="496163"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438150</xdr:colOff>
      <xdr:row>84</xdr:row>
      <xdr:rowOff>53339</xdr:rowOff>
    </xdr:from>
    <xdr:to>
      <xdr:col>4</xdr:col>
      <xdr:colOff>799738</xdr:colOff>
      <xdr:row>98</xdr:row>
      <xdr:rowOff>12870</xdr:rowOff>
    </xdr:to>
    <xdr:grpSp>
      <xdr:nvGrpSpPr>
        <xdr:cNvPr id="183" name="组合 182"/>
        <xdr:cNvGrpSpPr/>
      </xdr:nvGrpSpPr>
      <xdr:grpSpPr>
        <a:xfrm>
          <a:off x="676275" y="16179164"/>
          <a:ext cx="3876313" cy="2626531"/>
          <a:chOff x="8143875" y="1962400"/>
          <a:chExt cx="3294570" cy="2374828"/>
        </a:xfrm>
      </xdr:grpSpPr>
      <xdr:grpSp>
        <xdr:nvGrpSpPr>
          <xdr:cNvPr id="185" name="组合 184"/>
          <xdr:cNvGrpSpPr/>
        </xdr:nvGrpSpPr>
        <xdr:grpSpPr>
          <a:xfrm>
            <a:off x="8143875" y="1962400"/>
            <a:ext cx="3294570" cy="2374828"/>
            <a:chOff x="2236573" y="2052377"/>
            <a:chExt cx="4154476" cy="3050963"/>
          </a:xfrm>
        </xdr:grpSpPr>
        <xdr:sp macro="" textlink="">
          <xdr:nvSpPr>
            <xdr:cNvPr id="192" name="梯形 191"/>
            <xdr:cNvSpPr/>
          </xdr:nvSpPr>
          <xdr:spPr>
            <a:xfrm>
              <a:off x="3002691" y="2052377"/>
              <a:ext cx="716692" cy="557697"/>
            </a:xfrm>
            <a:prstGeom prst="trapezoid">
              <a:avLst/>
            </a:prstGeom>
            <a:solidFill>
              <a:srgbClr val="F79646"/>
            </a:solidFill>
            <a:ln w="9525" cap="flat" cmpd="sng" algn="ctr">
              <a:solidFill>
                <a:srgbClr val="F79646">
                  <a:shade val="95000"/>
                  <a:satMod val="105000"/>
                </a:srgbClr>
              </a:solidFill>
              <a:prstDash val="solid"/>
            </a:ln>
            <a:effectLst>
              <a:outerShdw blurRad="50800" dist="38100" dir="16200000" rotWithShape="0">
                <a:prstClr val="black">
                  <a:alpha val="40000"/>
                </a:prstClr>
              </a:outerShdw>
            </a:effectLst>
          </xdr:spPr>
          <xdr:txBody>
            <a:bodyPr rot="0" spcFirstLastPara="0" vert="horz" wrap="square" lIns="91440" tIns="45720" rIns="91440" bIns="45720" numCol="1" spcCol="0" rtlCol="0" fromWordArt="0" anchor="ctr" anchorCtr="0" forceAA="0" compatLnSpc="1">
              <a:prstTxWarp prst="textNoShape">
                <a:avLst/>
              </a:prstTxWarp>
              <a:noAutofit/>
            </a:bodyPr>
            <a:lstStyle>
              <a:defPPr>
                <a:defRPr lang="zh-CN"/>
              </a:defPPr>
              <a:lvl1pPr marL="0" algn="l" defTabSz="609585" rtl="0" eaLnBrk="1" latinLnBrk="0" hangingPunct="1">
                <a:defRPr sz="2400" kern="1200">
                  <a:solidFill>
                    <a:schemeClr val="lt1"/>
                  </a:solidFill>
                  <a:latin typeface="+mn-lt"/>
                  <a:ea typeface="+mn-ea"/>
                  <a:cs typeface="+mn-cs"/>
                </a:defRPr>
              </a:lvl1pPr>
              <a:lvl2pPr marL="609585" algn="l" defTabSz="609585" rtl="0" eaLnBrk="1" latinLnBrk="0" hangingPunct="1">
                <a:defRPr sz="2400" kern="1200">
                  <a:solidFill>
                    <a:schemeClr val="lt1"/>
                  </a:solidFill>
                  <a:latin typeface="+mn-lt"/>
                  <a:ea typeface="+mn-ea"/>
                  <a:cs typeface="+mn-cs"/>
                </a:defRPr>
              </a:lvl2pPr>
              <a:lvl3pPr marL="1219170" algn="l" defTabSz="609585" rtl="0" eaLnBrk="1" latinLnBrk="0" hangingPunct="1">
                <a:defRPr sz="2400" kern="1200">
                  <a:solidFill>
                    <a:schemeClr val="lt1"/>
                  </a:solidFill>
                  <a:latin typeface="+mn-lt"/>
                  <a:ea typeface="+mn-ea"/>
                  <a:cs typeface="+mn-cs"/>
                </a:defRPr>
              </a:lvl3pPr>
              <a:lvl4pPr marL="1828754" algn="l" defTabSz="609585" rtl="0" eaLnBrk="1" latinLnBrk="0" hangingPunct="1">
                <a:defRPr sz="2400" kern="1200">
                  <a:solidFill>
                    <a:schemeClr val="lt1"/>
                  </a:solidFill>
                  <a:latin typeface="+mn-lt"/>
                  <a:ea typeface="+mn-ea"/>
                  <a:cs typeface="+mn-cs"/>
                </a:defRPr>
              </a:lvl4pPr>
              <a:lvl5pPr marL="2438339" algn="l" defTabSz="609585" rtl="0" eaLnBrk="1" latinLnBrk="0" hangingPunct="1">
                <a:defRPr sz="2400" kern="1200">
                  <a:solidFill>
                    <a:schemeClr val="lt1"/>
                  </a:solidFill>
                  <a:latin typeface="+mn-lt"/>
                  <a:ea typeface="+mn-ea"/>
                  <a:cs typeface="+mn-cs"/>
                </a:defRPr>
              </a:lvl5pPr>
              <a:lvl6pPr marL="3047924" algn="l" defTabSz="609585" rtl="0" eaLnBrk="1" latinLnBrk="0" hangingPunct="1">
                <a:defRPr sz="2400" kern="1200">
                  <a:solidFill>
                    <a:schemeClr val="lt1"/>
                  </a:solidFill>
                  <a:latin typeface="+mn-lt"/>
                  <a:ea typeface="+mn-ea"/>
                  <a:cs typeface="+mn-cs"/>
                </a:defRPr>
              </a:lvl6pPr>
              <a:lvl7pPr marL="3657509" algn="l" defTabSz="609585" rtl="0" eaLnBrk="1" latinLnBrk="0" hangingPunct="1">
                <a:defRPr sz="2400" kern="1200">
                  <a:solidFill>
                    <a:schemeClr val="lt1"/>
                  </a:solidFill>
                  <a:latin typeface="+mn-lt"/>
                  <a:ea typeface="+mn-ea"/>
                  <a:cs typeface="+mn-cs"/>
                </a:defRPr>
              </a:lvl7pPr>
              <a:lvl8pPr marL="4267093" algn="l" defTabSz="609585" rtl="0" eaLnBrk="1" latinLnBrk="0" hangingPunct="1">
                <a:defRPr sz="2400" kern="1200">
                  <a:solidFill>
                    <a:schemeClr val="lt1"/>
                  </a:solidFill>
                  <a:latin typeface="+mn-lt"/>
                  <a:ea typeface="+mn-ea"/>
                  <a:cs typeface="+mn-cs"/>
                </a:defRPr>
              </a:lvl8pPr>
              <a:lvl9pPr marL="4876678" algn="l" defTabSz="609585" rtl="0" eaLnBrk="1" latinLnBrk="0" hangingPunct="1">
                <a:defRPr sz="2400" kern="1200">
                  <a:solidFill>
                    <a:schemeClr val="lt1"/>
                  </a:solidFill>
                  <a:latin typeface="+mn-lt"/>
                  <a:ea typeface="+mn-ea"/>
                  <a:cs typeface="+mn-cs"/>
                </a:defRPr>
              </a:lvl9pPr>
            </a:lstStyle>
            <a:p>
              <a:pPr marL="0" marR="0" lvl="0" indent="0" algn="ctr" defTabSz="609585" rtl="0" eaLnBrk="1" fontAlgn="auto" latinLnBrk="0" hangingPunct="1">
                <a:lnSpc>
                  <a:spcPct val="100000"/>
                </a:lnSpc>
                <a:spcBef>
                  <a:spcPts val="0"/>
                </a:spcBef>
                <a:spcAft>
                  <a:spcPts val="0"/>
                </a:spcAft>
                <a:buClrTx/>
                <a:buSzTx/>
                <a:buFontTx/>
                <a:buNone/>
                <a:tabLst/>
                <a:defRPr/>
              </a:pPr>
              <a:endParaRPr kumimoji="0" lang="zh-CN" altLang="en-US" sz="2400" b="0" i="0" u="none" strike="noStrike" kern="1200" cap="none" spc="0" normalizeH="0" baseline="0" noProof="0">
                <a:ln>
                  <a:noFill/>
                </a:ln>
                <a:solidFill>
                  <a:sysClr val="window" lastClr="FFFFFF"/>
                </a:solidFill>
                <a:effectLst/>
                <a:uLnTx/>
                <a:uFillTx/>
                <a:latin typeface="Calibri"/>
                <a:ea typeface="宋体"/>
                <a:cs typeface="+mn-cs"/>
              </a:endParaRPr>
            </a:p>
          </xdr:txBody>
        </xdr:sp>
        <xdr:sp macro="" textlink="">
          <xdr:nvSpPr>
            <xdr:cNvPr id="193" name="梯形 192"/>
            <xdr:cNvSpPr/>
          </xdr:nvSpPr>
          <xdr:spPr>
            <a:xfrm>
              <a:off x="4765589" y="2052378"/>
              <a:ext cx="716692" cy="557697"/>
            </a:xfrm>
            <a:prstGeom prst="trapezoid">
              <a:avLst/>
            </a:prstGeom>
            <a:solidFill>
              <a:sysClr val="window" lastClr="FFFFFF">
                <a:lumMod val="75000"/>
              </a:sysClr>
            </a:solidFill>
            <a:ln w="9525" cap="flat" cmpd="sng" algn="ctr">
              <a:noFill/>
              <a:prstDash val="solid"/>
            </a:ln>
            <a:effectLst>
              <a:outerShdw blurRad="50800" dist="38100" dir="16200000" rotWithShape="0">
                <a:prstClr val="black">
                  <a:alpha val="40000"/>
                </a:prstClr>
              </a:outerShdw>
            </a:effectLst>
          </xdr:spPr>
          <xdr:txBody>
            <a:bodyPr rot="0" spcFirstLastPara="0" vert="horz" wrap="square" lIns="91440" tIns="45720" rIns="91440" bIns="45720" numCol="1" spcCol="0" rtlCol="0" fromWordArt="0" anchor="ctr" anchorCtr="0" forceAA="0" compatLnSpc="1">
              <a:prstTxWarp prst="textNoShape">
                <a:avLst/>
              </a:prstTxWarp>
              <a:noAutofit/>
            </a:bodyPr>
            <a:lstStyle>
              <a:defPPr>
                <a:defRPr lang="zh-CN"/>
              </a:defPPr>
              <a:lvl1pPr marL="0" algn="l" defTabSz="609585" rtl="0" eaLnBrk="1" latinLnBrk="0" hangingPunct="1">
                <a:defRPr sz="2400" kern="1200">
                  <a:solidFill>
                    <a:schemeClr val="dk1"/>
                  </a:solidFill>
                  <a:latin typeface="+mn-lt"/>
                  <a:ea typeface="+mn-ea"/>
                  <a:cs typeface="+mn-cs"/>
                </a:defRPr>
              </a:lvl1pPr>
              <a:lvl2pPr marL="609585" algn="l" defTabSz="609585" rtl="0" eaLnBrk="1" latinLnBrk="0" hangingPunct="1">
                <a:defRPr sz="2400" kern="1200">
                  <a:solidFill>
                    <a:schemeClr val="dk1"/>
                  </a:solidFill>
                  <a:latin typeface="+mn-lt"/>
                  <a:ea typeface="+mn-ea"/>
                  <a:cs typeface="+mn-cs"/>
                </a:defRPr>
              </a:lvl2pPr>
              <a:lvl3pPr marL="1219170" algn="l" defTabSz="609585" rtl="0" eaLnBrk="1" latinLnBrk="0" hangingPunct="1">
                <a:defRPr sz="2400" kern="1200">
                  <a:solidFill>
                    <a:schemeClr val="dk1"/>
                  </a:solidFill>
                  <a:latin typeface="+mn-lt"/>
                  <a:ea typeface="+mn-ea"/>
                  <a:cs typeface="+mn-cs"/>
                </a:defRPr>
              </a:lvl3pPr>
              <a:lvl4pPr marL="1828754" algn="l" defTabSz="609585" rtl="0" eaLnBrk="1" latinLnBrk="0" hangingPunct="1">
                <a:defRPr sz="2400" kern="1200">
                  <a:solidFill>
                    <a:schemeClr val="dk1"/>
                  </a:solidFill>
                  <a:latin typeface="+mn-lt"/>
                  <a:ea typeface="+mn-ea"/>
                  <a:cs typeface="+mn-cs"/>
                </a:defRPr>
              </a:lvl4pPr>
              <a:lvl5pPr marL="2438339" algn="l" defTabSz="609585" rtl="0" eaLnBrk="1" latinLnBrk="0" hangingPunct="1">
                <a:defRPr sz="2400" kern="1200">
                  <a:solidFill>
                    <a:schemeClr val="dk1"/>
                  </a:solidFill>
                  <a:latin typeface="+mn-lt"/>
                  <a:ea typeface="+mn-ea"/>
                  <a:cs typeface="+mn-cs"/>
                </a:defRPr>
              </a:lvl5pPr>
              <a:lvl6pPr marL="3047924" algn="l" defTabSz="609585" rtl="0" eaLnBrk="1" latinLnBrk="0" hangingPunct="1">
                <a:defRPr sz="2400" kern="1200">
                  <a:solidFill>
                    <a:schemeClr val="dk1"/>
                  </a:solidFill>
                  <a:latin typeface="+mn-lt"/>
                  <a:ea typeface="+mn-ea"/>
                  <a:cs typeface="+mn-cs"/>
                </a:defRPr>
              </a:lvl6pPr>
              <a:lvl7pPr marL="3657509" algn="l" defTabSz="609585" rtl="0" eaLnBrk="1" latinLnBrk="0" hangingPunct="1">
                <a:defRPr sz="2400" kern="1200">
                  <a:solidFill>
                    <a:schemeClr val="dk1"/>
                  </a:solidFill>
                  <a:latin typeface="+mn-lt"/>
                  <a:ea typeface="+mn-ea"/>
                  <a:cs typeface="+mn-cs"/>
                </a:defRPr>
              </a:lvl7pPr>
              <a:lvl8pPr marL="4267093" algn="l" defTabSz="609585" rtl="0" eaLnBrk="1" latinLnBrk="0" hangingPunct="1">
                <a:defRPr sz="2400" kern="1200">
                  <a:solidFill>
                    <a:schemeClr val="dk1"/>
                  </a:solidFill>
                  <a:latin typeface="+mn-lt"/>
                  <a:ea typeface="+mn-ea"/>
                  <a:cs typeface="+mn-cs"/>
                </a:defRPr>
              </a:lvl8pPr>
              <a:lvl9pPr marL="4876678" algn="l" defTabSz="609585" rtl="0" eaLnBrk="1" latinLnBrk="0" hangingPunct="1">
                <a:defRPr sz="2400" kern="1200">
                  <a:solidFill>
                    <a:schemeClr val="dk1"/>
                  </a:solidFill>
                  <a:latin typeface="+mn-lt"/>
                  <a:ea typeface="+mn-ea"/>
                  <a:cs typeface="+mn-cs"/>
                </a:defRPr>
              </a:lvl9pPr>
            </a:lstStyle>
            <a:p>
              <a:pPr marL="0" marR="0" lvl="0" indent="0" algn="ctr" defTabSz="609585" rtl="0" eaLnBrk="1" fontAlgn="auto" latinLnBrk="0" hangingPunct="1">
                <a:lnSpc>
                  <a:spcPct val="100000"/>
                </a:lnSpc>
                <a:spcBef>
                  <a:spcPts val="0"/>
                </a:spcBef>
                <a:spcAft>
                  <a:spcPts val="0"/>
                </a:spcAft>
                <a:buClrTx/>
                <a:buSzTx/>
                <a:buFontTx/>
                <a:buNone/>
                <a:tabLst/>
                <a:defRPr/>
              </a:pPr>
              <a:endParaRPr kumimoji="0" lang="zh-CN" altLang="en-US" sz="2400" b="0" i="0" u="none" strike="noStrike" kern="1200" cap="none" spc="0" normalizeH="0" baseline="0" noProof="0">
                <a:ln>
                  <a:noFill/>
                </a:ln>
                <a:solidFill>
                  <a:sysClr val="windowText" lastClr="000000"/>
                </a:solidFill>
                <a:effectLst/>
                <a:uLnTx/>
                <a:uFillTx/>
                <a:latin typeface="Calibri"/>
                <a:ea typeface="宋体"/>
                <a:cs typeface="+mn-cs"/>
              </a:endParaRPr>
            </a:p>
          </xdr:txBody>
        </xdr:sp>
        <xdr:sp macro="" textlink="">
          <xdr:nvSpPr>
            <xdr:cNvPr id="191" name="矩形 190"/>
            <xdr:cNvSpPr/>
          </xdr:nvSpPr>
          <xdr:spPr>
            <a:xfrm>
              <a:off x="2236573" y="2545491"/>
              <a:ext cx="4003589" cy="2557849"/>
            </a:xfrm>
            <a:prstGeom prst="rect">
              <a:avLst/>
            </a:prstGeom>
            <a:solidFill>
              <a:srgbClr val="F8F8F8"/>
            </a:solidFill>
            <a:ln>
              <a:solidFill>
                <a:schemeClr val="bg1">
                  <a:lumMod val="50000"/>
                </a:schemeClr>
              </a:solidFill>
            </a:ln>
            <a:effectLst>
              <a:outerShdw blurRad="40000" dist="20000" dir="5400000" rotWithShape="0">
                <a:srgbClr val="000000">
                  <a:alpha val="38000"/>
                </a:srgbClr>
              </a:outerShdw>
              <a:softEdge rad="31750"/>
            </a:effectLst>
            <a:scene3d>
              <a:camera prst="orthographicFront"/>
              <a:lightRig rig="threePt" dir="t"/>
            </a:scene3d>
            <a:sp3d>
              <a:bevelT/>
              <a:bevelB/>
            </a:sp3d>
          </xdr:spPr>
          <xdr:style>
            <a:lnRef idx="1">
              <a:schemeClr val="dk1"/>
            </a:lnRef>
            <a:fillRef idx="2">
              <a:schemeClr val="dk1"/>
            </a:fillRef>
            <a:effectRef idx="1">
              <a:schemeClr val="dk1"/>
            </a:effectRef>
            <a:fontRef idx="minor">
              <a:schemeClr val="dk1"/>
            </a:fontRef>
          </xdr:style>
          <xdr:txBody>
            <a:bodyPr rot="0" spcFirstLastPara="0" vert="horz" wrap="square" lIns="91440" tIns="45720" rIns="91440" bIns="45720" numCol="1" spcCol="0" rtlCol="0" fromWordArt="0" anchor="ctr" anchorCtr="0" forceAA="0" compatLnSpc="1">
              <a:prstTxWarp prst="textNoShape">
                <a:avLst/>
              </a:prstTxWarp>
              <a:noAutofit/>
            </a:bodyPr>
            <a:lstStyle>
              <a:defPPr>
                <a:defRPr lang="zh-CN"/>
              </a:defPPr>
              <a:lvl1pPr marL="0" algn="l" defTabSz="609585" rtl="0" eaLnBrk="1" latinLnBrk="0" hangingPunct="1">
                <a:defRPr sz="2400" kern="1200">
                  <a:solidFill>
                    <a:schemeClr val="lt1"/>
                  </a:solidFill>
                  <a:latin typeface="+mn-lt"/>
                  <a:ea typeface="+mn-ea"/>
                  <a:cs typeface="+mn-cs"/>
                </a:defRPr>
              </a:lvl1pPr>
              <a:lvl2pPr marL="609585" algn="l" defTabSz="609585" rtl="0" eaLnBrk="1" latinLnBrk="0" hangingPunct="1">
                <a:defRPr sz="2400" kern="1200">
                  <a:solidFill>
                    <a:schemeClr val="lt1"/>
                  </a:solidFill>
                  <a:latin typeface="+mn-lt"/>
                  <a:ea typeface="+mn-ea"/>
                  <a:cs typeface="+mn-cs"/>
                </a:defRPr>
              </a:lvl2pPr>
              <a:lvl3pPr marL="1219170" algn="l" defTabSz="609585" rtl="0" eaLnBrk="1" latinLnBrk="0" hangingPunct="1">
                <a:defRPr sz="2400" kern="1200">
                  <a:solidFill>
                    <a:schemeClr val="lt1"/>
                  </a:solidFill>
                  <a:latin typeface="+mn-lt"/>
                  <a:ea typeface="+mn-ea"/>
                  <a:cs typeface="+mn-cs"/>
                </a:defRPr>
              </a:lvl3pPr>
              <a:lvl4pPr marL="1828754" algn="l" defTabSz="609585" rtl="0" eaLnBrk="1" latinLnBrk="0" hangingPunct="1">
                <a:defRPr sz="2400" kern="1200">
                  <a:solidFill>
                    <a:schemeClr val="lt1"/>
                  </a:solidFill>
                  <a:latin typeface="+mn-lt"/>
                  <a:ea typeface="+mn-ea"/>
                  <a:cs typeface="+mn-cs"/>
                </a:defRPr>
              </a:lvl4pPr>
              <a:lvl5pPr marL="2438339" algn="l" defTabSz="609585" rtl="0" eaLnBrk="1" latinLnBrk="0" hangingPunct="1">
                <a:defRPr sz="2400" kern="1200">
                  <a:solidFill>
                    <a:schemeClr val="lt1"/>
                  </a:solidFill>
                  <a:latin typeface="+mn-lt"/>
                  <a:ea typeface="+mn-ea"/>
                  <a:cs typeface="+mn-cs"/>
                </a:defRPr>
              </a:lvl5pPr>
              <a:lvl6pPr marL="3047924" algn="l" defTabSz="609585" rtl="0" eaLnBrk="1" latinLnBrk="0" hangingPunct="1">
                <a:defRPr sz="2400" kern="1200">
                  <a:solidFill>
                    <a:schemeClr val="lt1"/>
                  </a:solidFill>
                  <a:latin typeface="+mn-lt"/>
                  <a:ea typeface="+mn-ea"/>
                  <a:cs typeface="+mn-cs"/>
                </a:defRPr>
              </a:lvl6pPr>
              <a:lvl7pPr marL="3657509" algn="l" defTabSz="609585" rtl="0" eaLnBrk="1" latinLnBrk="0" hangingPunct="1">
                <a:defRPr sz="2400" kern="1200">
                  <a:solidFill>
                    <a:schemeClr val="lt1"/>
                  </a:solidFill>
                  <a:latin typeface="+mn-lt"/>
                  <a:ea typeface="+mn-ea"/>
                  <a:cs typeface="+mn-cs"/>
                </a:defRPr>
              </a:lvl7pPr>
              <a:lvl8pPr marL="4267093" algn="l" defTabSz="609585" rtl="0" eaLnBrk="1" latinLnBrk="0" hangingPunct="1">
                <a:defRPr sz="2400" kern="1200">
                  <a:solidFill>
                    <a:schemeClr val="lt1"/>
                  </a:solidFill>
                  <a:latin typeface="+mn-lt"/>
                  <a:ea typeface="+mn-ea"/>
                  <a:cs typeface="+mn-cs"/>
                </a:defRPr>
              </a:lvl8pPr>
              <a:lvl9pPr marL="4876678" algn="l" defTabSz="609585" rtl="0" eaLnBrk="1" latinLnBrk="0" hangingPunct="1">
                <a:defRPr sz="2400" kern="1200">
                  <a:solidFill>
                    <a:schemeClr val="lt1"/>
                  </a:solidFill>
                  <a:latin typeface="+mn-lt"/>
                  <a:ea typeface="+mn-ea"/>
                  <a:cs typeface="+mn-cs"/>
                </a:defRPr>
              </a:lvl9pPr>
            </a:lstStyle>
            <a:p>
              <a:pPr marL="0" marR="0" lvl="0" indent="0" algn="ctr" defTabSz="609585" rtl="0" eaLnBrk="1" fontAlgn="auto" latinLnBrk="0" hangingPunct="1">
                <a:lnSpc>
                  <a:spcPct val="100000"/>
                </a:lnSpc>
                <a:spcBef>
                  <a:spcPts val="0"/>
                </a:spcBef>
                <a:spcAft>
                  <a:spcPts val="0"/>
                </a:spcAft>
                <a:buClrTx/>
                <a:buSzTx/>
                <a:buFontTx/>
                <a:buNone/>
                <a:tabLst/>
                <a:defRPr/>
              </a:pPr>
              <a:endParaRPr kumimoji="0" lang="zh-CN" altLang="en-US" sz="2400" b="0" i="0" u="none" strike="noStrike" kern="1200" cap="none" spc="0" normalizeH="0" baseline="0" noProof="0">
                <a:ln>
                  <a:noFill/>
                </a:ln>
                <a:solidFill>
                  <a:sysClr val="window" lastClr="FFFFFF"/>
                </a:solidFill>
                <a:effectLst/>
                <a:uLnTx/>
                <a:uFillTx/>
                <a:latin typeface="Calibri"/>
                <a:ea typeface="宋体"/>
                <a:cs typeface="+mn-cs"/>
              </a:endParaRPr>
            </a:p>
          </xdr:txBody>
        </xdr:sp>
        <xdr:cxnSp macro="">
          <xdr:nvCxnSpPr>
            <xdr:cNvPr id="196" name="直接连接符 195"/>
            <xdr:cNvCxnSpPr/>
          </xdr:nvCxnSpPr>
          <xdr:spPr>
            <a:xfrm>
              <a:off x="5733534" y="2545492"/>
              <a:ext cx="0" cy="488092"/>
            </a:xfrm>
            <a:prstGeom prst="line">
              <a:avLst/>
            </a:prstGeom>
            <a:noFill/>
            <a:ln w="12700" cap="flat" cmpd="sng" algn="ctr">
              <a:solidFill>
                <a:sysClr val="windowText" lastClr="000000"/>
              </a:solidFill>
              <a:prstDash val="dash"/>
            </a:ln>
            <a:effectLst/>
          </xdr:spPr>
        </xdr:cxnSp>
        <xdr:cxnSp macro="">
          <xdr:nvCxnSpPr>
            <xdr:cNvPr id="198" name="直接箭头连接符 197"/>
            <xdr:cNvCxnSpPr/>
          </xdr:nvCxnSpPr>
          <xdr:spPr>
            <a:xfrm>
              <a:off x="5496044" y="3323967"/>
              <a:ext cx="744118" cy="1"/>
            </a:xfrm>
            <a:prstGeom prst="straightConnector1">
              <a:avLst/>
            </a:prstGeom>
            <a:noFill/>
            <a:ln w="9525" cap="flat" cmpd="sng" algn="ctr">
              <a:solidFill>
                <a:sysClr val="windowText" lastClr="000000"/>
              </a:solidFill>
              <a:prstDash val="solid"/>
              <a:headEnd type="arrow"/>
              <a:tailEnd type="arrow"/>
            </a:ln>
            <a:effectLst/>
          </xdr:spPr>
        </xdr:cxnSp>
        <xdr:cxnSp macro="">
          <xdr:nvCxnSpPr>
            <xdr:cNvPr id="199" name="直接箭头连接符 198"/>
            <xdr:cNvCxnSpPr/>
          </xdr:nvCxnSpPr>
          <xdr:spPr>
            <a:xfrm>
              <a:off x="5469179" y="2789538"/>
              <a:ext cx="255372" cy="0"/>
            </a:xfrm>
            <a:prstGeom prst="straightConnector1">
              <a:avLst/>
            </a:prstGeom>
            <a:noFill/>
            <a:ln w="9525" cap="flat" cmpd="sng" algn="ctr">
              <a:solidFill>
                <a:sysClr val="windowText" lastClr="000000"/>
              </a:solidFill>
              <a:prstDash val="solid"/>
              <a:headEnd type="arrow"/>
              <a:tailEnd type="arrow"/>
            </a:ln>
            <a:effectLst/>
          </xdr:spPr>
        </xdr:cxnSp>
        <xdr:sp macro="" textlink="">
          <xdr:nvSpPr>
            <xdr:cNvPr id="200" name="TextBox 20"/>
            <xdr:cNvSpPr txBox="1"/>
          </xdr:nvSpPr>
          <xdr:spPr>
            <a:xfrm>
              <a:off x="5346084" y="3399301"/>
              <a:ext cx="1044965" cy="342632"/>
            </a:xfrm>
            <a:prstGeom prst="rect">
              <a:avLst/>
            </a:prstGeom>
            <a:noFill/>
          </xdr:spPr>
          <xdr:txBody>
            <a:bodyPr wrap="square" rtlCol="0">
              <a:noAutofit/>
            </a:bodyPr>
            <a:lstStyle>
              <a:defPPr>
                <a:defRPr lang="zh-CN"/>
              </a:defPPr>
              <a:lvl1pPr marL="0" algn="l" defTabSz="609585" rtl="0" eaLnBrk="1" latinLnBrk="0" hangingPunct="1">
                <a:defRPr sz="2400" kern="1200">
                  <a:solidFill>
                    <a:schemeClr val="tx1"/>
                  </a:solidFill>
                  <a:latin typeface="+mn-lt"/>
                  <a:ea typeface="+mn-ea"/>
                  <a:cs typeface="+mn-cs"/>
                </a:defRPr>
              </a:lvl1pPr>
              <a:lvl2pPr marL="609585" algn="l" defTabSz="609585" rtl="0" eaLnBrk="1" latinLnBrk="0" hangingPunct="1">
                <a:defRPr sz="2400" kern="1200">
                  <a:solidFill>
                    <a:schemeClr val="tx1"/>
                  </a:solidFill>
                  <a:latin typeface="+mn-lt"/>
                  <a:ea typeface="+mn-ea"/>
                  <a:cs typeface="+mn-cs"/>
                </a:defRPr>
              </a:lvl2pPr>
              <a:lvl3pPr marL="1219170" algn="l" defTabSz="609585" rtl="0" eaLnBrk="1" latinLnBrk="0" hangingPunct="1">
                <a:defRPr sz="2400" kern="1200">
                  <a:solidFill>
                    <a:schemeClr val="tx1"/>
                  </a:solidFill>
                  <a:latin typeface="+mn-lt"/>
                  <a:ea typeface="+mn-ea"/>
                  <a:cs typeface="+mn-cs"/>
                </a:defRPr>
              </a:lvl3pPr>
              <a:lvl4pPr marL="1828754" algn="l" defTabSz="609585" rtl="0" eaLnBrk="1" latinLnBrk="0" hangingPunct="1">
                <a:defRPr sz="2400" kern="1200">
                  <a:solidFill>
                    <a:schemeClr val="tx1"/>
                  </a:solidFill>
                  <a:latin typeface="+mn-lt"/>
                  <a:ea typeface="+mn-ea"/>
                  <a:cs typeface="+mn-cs"/>
                </a:defRPr>
              </a:lvl4pPr>
              <a:lvl5pPr marL="2438339" algn="l" defTabSz="609585" rtl="0" eaLnBrk="1" latinLnBrk="0" hangingPunct="1">
                <a:defRPr sz="2400" kern="1200">
                  <a:solidFill>
                    <a:schemeClr val="tx1"/>
                  </a:solidFill>
                  <a:latin typeface="+mn-lt"/>
                  <a:ea typeface="+mn-ea"/>
                  <a:cs typeface="+mn-cs"/>
                </a:defRPr>
              </a:lvl5pPr>
              <a:lvl6pPr marL="3047924" algn="l" defTabSz="609585" rtl="0" eaLnBrk="1" latinLnBrk="0" hangingPunct="1">
                <a:defRPr sz="2400" kern="1200">
                  <a:solidFill>
                    <a:schemeClr val="tx1"/>
                  </a:solidFill>
                  <a:latin typeface="+mn-lt"/>
                  <a:ea typeface="+mn-ea"/>
                  <a:cs typeface="+mn-cs"/>
                </a:defRPr>
              </a:lvl6pPr>
              <a:lvl7pPr marL="3657509" algn="l" defTabSz="609585" rtl="0" eaLnBrk="1" latinLnBrk="0" hangingPunct="1">
                <a:defRPr sz="2400" kern="1200">
                  <a:solidFill>
                    <a:schemeClr val="tx1"/>
                  </a:solidFill>
                  <a:latin typeface="+mn-lt"/>
                  <a:ea typeface="+mn-ea"/>
                  <a:cs typeface="+mn-cs"/>
                </a:defRPr>
              </a:lvl7pPr>
              <a:lvl8pPr marL="4267093" algn="l" defTabSz="609585" rtl="0" eaLnBrk="1" latinLnBrk="0" hangingPunct="1">
                <a:defRPr sz="2400" kern="1200">
                  <a:solidFill>
                    <a:schemeClr val="tx1"/>
                  </a:solidFill>
                  <a:latin typeface="+mn-lt"/>
                  <a:ea typeface="+mn-ea"/>
                  <a:cs typeface="+mn-cs"/>
                </a:defRPr>
              </a:lvl8pPr>
              <a:lvl9pPr marL="4876678" algn="l" defTabSz="609585" rtl="0" eaLnBrk="1" latinLnBrk="0" hangingPunct="1">
                <a:defRPr sz="2400" kern="1200">
                  <a:solidFill>
                    <a:schemeClr val="tx1"/>
                  </a:solidFill>
                  <a:latin typeface="+mn-lt"/>
                  <a:ea typeface="+mn-ea"/>
                  <a:cs typeface="+mn-cs"/>
                </a:defRPr>
              </a:lvl9pPr>
            </a:lstStyle>
            <a:p>
              <a:pPr marL="0" marR="0" lvl="0" indent="0" algn="l" defTabSz="609585" rtl="0" eaLnBrk="1" fontAlgn="auto" latinLnBrk="0" hangingPunct="1">
                <a:lnSpc>
                  <a:spcPct val="100000"/>
                </a:lnSpc>
                <a:spcBef>
                  <a:spcPts val="0"/>
                </a:spcBef>
                <a:spcAft>
                  <a:spcPts val="0"/>
                </a:spcAft>
                <a:buClrTx/>
                <a:buSzTx/>
                <a:buFontTx/>
                <a:buNone/>
                <a:tabLst/>
                <a:defRPr/>
              </a:pPr>
              <a:r>
                <a:rPr kumimoji="0" lang="zh-CN" altLang="en-US" sz="1000" b="0" i="0" u="none" strike="noStrike" kern="1200" cap="none" spc="0" normalizeH="0" baseline="0" noProof="0">
                  <a:ln>
                    <a:noFill/>
                  </a:ln>
                  <a:solidFill>
                    <a:sysClr val="windowText" lastClr="000000"/>
                  </a:solidFill>
                  <a:effectLst/>
                  <a:uLnTx/>
                  <a:uFillTx/>
                  <a:latin typeface="Calibri"/>
                  <a:ea typeface="宋体"/>
                  <a:cs typeface="+mn-cs"/>
                </a:rPr>
                <a:t>极耳边距</a:t>
              </a:r>
              <a:r>
                <a:rPr kumimoji="0" lang="en-US" altLang="zh-CN" sz="1000" b="0" i="0" u="none" strike="noStrike" kern="1200" cap="none" spc="0" normalizeH="0" baseline="0" noProof="0">
                  <a:ln>
                    <a:noFill/>
                  </a:ln>
                  <a:solidFill>
                    <a:sysClr val="windowText" lastClr="000000"/>
                  </a:solidFill>
                  <a:effectLst/>
                  <a:uLnTx/>
                  <a:uFillTx/>
                  <a:latin typeface="Calibri"/>
                  <a:ea typeface="宋体"/>
                  <a:cs typeface="+mn-cs"/>
                </a:rPr>
                <a:t>Lb</a:t>
              </a:r>
              <a:endParaRPr kumimoji="0" lang="zh-CN" altLang="en-US" sz="1000" b="0" i="0" u="none" strike="noStrike" kern="1200" cap="none" spc="0" normalizeH="0" baseline="0" noProof="0">
                <a:ln>
                  <a:noFill/>
                </a:ln>
                <a:solidFill>
                  <a:sysClr val="windowText" lastClr="000000"/>
                </a:solidFill>
                <a:effectLst/>
                <a:uLnTx/>
                <a:uFillTx/>
                <a:latin typeface="Calibri"/>
                <a:ea typeface="宋体"/>
                <a:cs typeface="+mn-cs"/>
              </a:endParaRPr>
            </a:p>
          </xdr:txBody>
        </xdr:sp>
        <xdr:sp macro="" textlink="">
          <xdr:nvSpPr>
            <xdr:cNvPr id="201" name="TextBox 21"/>
            <xdr:cNvSpPr txBox="1"/>
          </xdr:nvSpPr>
          <xdr:spPr>
            <a:xfrm>
              <a:off x="5428555" y="2870370"/>
              <a:ext cx="407952" cy="339883"/>
            </a:xfrm>
            <a:prstGeom prst="rect">
              <a:avLst/>
            </a:prstGeom>
            <a:noFill/>
          </xdr:spPr>
          <xdr:txBody>
            <a:bodyPr wrap="square" rtlCol="0">
              <a:spAutoFit/>
            </a:bodyPr>
            <a:lstStyle>
              <a:defPPr>
                <a:defRPr lang="zh-CN"/>
              </a:defPPr>
              <a:lvl1pPr marL="0" algn="l" defTabSz="609585" rtl="0" eaLnBrk="1" latinLnBrk="0" hangingPunct="1">
                <a:defRPr sz="2400" kern="1200">
                  <a:solidFill>
                    <a:schemeClr val="tx1"/>
                  </a:solidFill>
                  <a:latin typeface="+mn-lt"/>
                  <a:ea typeface="+mn-ea"/>
                  <a:cs typeface="+mn-cs"/>
                </a:defRPr>
              </a:lvl1pPr>
              <a:lvl2pPr marL="609585" algn="l" defTabSz="609585" rtl="0" eaLnBrk="1" latinLnBrk="0" hangingPunct="1">
                <a:defRPr sz="2400" kern="1200">
                  <a:solidFill>
                    <a:schemeClr val="tx1"/>
                  </a:solidFill>
                  <a:latin typeface="+mn-lt"/>
                  <a:ea typeface="+mn-ea"/>
                  <a:cs typeface="+mn-cs"/>
                </a:defRPr>
              </a:lvl2pPr>
              <a:lvl3pPr marL="1219170" algn="l" defTabSz="609585" rtl="0" eaLnBrk="1" latinLnBrk="0" hangingPunct="1">
                <a:defRPr sz="2400" kern="1200">
                  <a:solidFill>
                    <a:schemeClr val="tx1"/>
                  </a:solidFill>
                  <a:latin typeface="+mn-lt"/>
                  <a:ea typeface="+mn-ea"/>
                  <a:cs typeface="+mn-cs"/>
                </a:defRPr>
              </a:lvl3pPr>
              <a:lvl4pPr marL="1828754" algn="l" defTabSz="609585" rtl="0" eaLnBrk="1" latinLnBrk="0" hangingPunct="1">
                <a:defRPr sz="2400" kern="1200">
                  <a:solidFill>
                    <a:schemeClr val="tx1"/>
                  </a:solidFill>
                  <a:latin typeface="+mn-lt"/>
                  <a:ea typeface="+mn-ea"/>
                  <a:cs typeface="+mn-cs"/>
                </a:defRPr>
              </a:lvl4pPr>
              <a:lvl5pPr marL="2438339" algn="l" defTabSz="609585" rtl="0" eaLnBrk="1" latinLnBrk="0" hangingPunct="1">
                <a:defRPr sz="2400" kern="1200">
                  <a:solidFill>
                    <a:schemeClr val="tx1"/>
                  </a:solidFill>
                  <a:latin typeface="+mn-lt"/>
                  <a:ea typeface="+mn-ea"/>
                  <a:cs typeface="+mn-cs"/>
                </a:defRPr>
              </a:lvl5pPr>
              <a:lvl6pPr marL="3047924" algn="l" defTabSz="609585" rtl="0" eaLnBrk="1" latinLnBrk="0" hangingPunct="1">
                <a:defRPr sz="2400" kern="1200">
                  <a:solidFill>
                    <a:schemeClr val="tx1"/>
                  </a:solidFill>
                  <a:latin typeface="+mn-lt"/>
                  <a:ea typeface="+mn-ea"/>
                  <a:cs typeface="+mn-cs"/>
                </a:defRPr>
              </a:lvl6pPr>
              <a:lvl7pPr marL="3657509" algn="l" defTabSz="609585" rtl="0" eaLnBrk="1" latinLnBrk="0" hangingPunct="1">
                <a:defRPr sz="2400" kern="1200">
                  <a:solidFill>
                    <a:schemeClr val="tx1"/>
                  </a:solidFill>
                  <a:latin typeface="+mn-lt"/>
                  <a:ea typeface="+mn-ea"/>
                  <a:cs typeface="+mn-cs"/>
                </a:defRPr>
              </a:lvl7pPr>
              <a:lvl8pPr marL="4267093" algn="l" defTabSz="609585" rtl="0" eaLnBrk="1" latinLnBrk="0" hangingPunct="1">
                <a:defRPr sz="2400" kern="1200">
                  <a:solidFill>
                    <a:schemeClr val="tx1"/>
                  </a:solidFill>
                  <a:latin typeface="+mn-lt"/>
                  <a:ea typeface="+mn-ea"/>
                  <a:cs typeface="+mn-cs"/>
                </a:defRPr>
              </a:lvl8pPr>
              <a:lvl9pPr marL="4876678" algn="l" defTabSz="609585" rtl="0" eaLnBrk="1" latinLnBrk="0" hangingPunct="1">
                <a:defRPr sz="2400" kern="1200">
                  <a:solidFill>
                    <a:schemeClr val="tx1"/>
                  </a:solidFill>
                  <a:latin typeface="+mn-lt"/>
                  <a:ea typeface="+mn-ea"/>
                  <a:cs typeface="+mn-cs"/>
                </a:defRPr>
              </a:lvl9pPr>
            </a:lstStyle>
            <a:p>
              <a:pPr marL="0" marR="0" lvl="0" indent="0" algn="l" defTabSz="609585" rtl="0" eaLnBrk="1" fontAlgn="auto" latinLnBrk="0" hangingPunct="1">
                <a:lnSpc>
                  <a:spcPct val="100000"/>
                </a:lnSpc>
                <a:spcBef>
                  <a:spcPts val="0"/>
                </a:spcBef>
                <a:spcAft>
                  <a:spcPts val="0"/>
                </a:spcAft>
                <a:buClrTx/>
                <a:buSzTx/>
                <a:buFontTx/>
                <a:buNone/>
                <a:tabLst/>
                <a:defRPr/>
              </a:pPr>
              <a:r>
                <a:rPr kumimoji="0" lang="en-US" altLang="zh-CN" sz="1100" b="0" i="0" u="none" strike="noStrike" kern="1200" cap="none" spc="0" normalizeH="0" baseline="0" noProof="0">
                  <a:ln>
                    <a:noFill/>
                  </a:ln>
                  <a:solidFill>
                    <a:sysClr val="windowText" lastClr="000000"/>
                  </a:solidFill>
                  <a:effectLst/>
                  <a:uLnTx/>
                  <a:uFillTx/>
                  <a:latin typeface="Calibri"/>
                  <a:ea typeface="宋体"/>
                  <a:cs typeface="+mn-cs"/>
                </a:rPr>
                <a:t>La</a:t>
              </a:r>
            </a:p>
          </xdr:txBody>
        </xdr:sp>
      </xdr:grpSp>
      <xdr:cxnSp macro="">
        <xdr:nvCxnSpPr>
          <xdr:cNvPr id="186" name="直接连接符 185"/>
          <xdr:cNvCxnSpPr/>
        </xdr:nvCxnSpPr>
        <xdr:spPr>
          <a:xfrm>
            <a:off x="10706100" y="2362200"/>
            <a:ext cx="0" cy="673076"/>
          </a:xfrm>
          <a:prstGeom prst="line">
            <a:avLst/>
          </a:prstGeom>
          <a:noFill/>
          <a:ln w="12700" cap="flat" cmpd="sng" algn="ctr">
            <a:solidFill>
              <a:sysClr val="windowText" lastClr="000000"/>
            </a:solidFill>
            <a:prstDash val="dash"/>
          </a:ln>
          <a:effectLst/>
        </xdr:spPr>
      </xdr:cxnSp>
    </xdr:grpSp>
    <xdr:clientData/>
  </xdr:twoCellAnchor>
  <xdr:twoCellAnchor>
    <xdr:from>
      <xdr:col>5</xdr:col>
      <xdr:colOff>150495</xdr:colOff>
      <xdr:row>84</xdr:row>
      <xdr:rowOff>161925</xdr:rowOff>
    </xdr:from>
    <xdr:to>
      <xdr:col>5</xdr:col>
      <xdr:colOff>541020</xdr:colOff>
      <xdr:row>86</xdr:row>
      <xdr:rowOff>50589</xdr:rowOff>
    </xdr:to>
    <xdr:sp macro="" textlink="">
      <xdr:nvSpPr>
        <xdr:cNvPr id="203" name="TextBox 202"/>
        <xdr:cNvSpPr txBox="1"/>
      </xdr:nvSpPr>
      <xdr:spPr>
        <a:xfrm>
          <a:off x="4120515" y="15805785"/>
          <a:ext cx="390525" cy="254424"/>
        </a:xfrm>
        <a:prstGeom prst="rect">
          <a:avLst/>
        </a:prstGeom>
        <a:noFill/>
        <a:ln>
          <a:noFill/>
        </a:ln>
        <a:effectLst/>
      </xdr:spPr>
      <xdr:txBody>
        <a:bodyPr vertOverflow="clip" horzOverflow="clip" wrap="non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altLang="zh-CN" sz="1000" b="0" i="0" u="none" strike="noStrike" kern="0" cap="none" spc="0" normalizeH="0" baseline="0" noProof="0">
              <a:ln>
                <a:noFill/>
              </a:ln>
              <a:solidFill>
                <a:sysClr val="windowText" lastClr="000000"/>
              </a:solidFill>
              <a:effectLst/>
              <a:uLnTx/>
              <a:uFillTx/>
              <a:latin typeface="Calibri"/>
              <a:ea typeface="宋体"/>
              <a:cs typeface="+mn-cs"/>
            </a:rPr>
            <a:t>La=</a:t>
          </a:r>
          <a:endParaRPr kumimoji="0" lang="zh-CN" altLang="en-US" sz="1000" b="0" i="0" u="none" strike="noStrike" kern="0" cap="none" spc="0" normalizeH="0" baseline="0" noProof="0">
            <a:ln>
              <a:noFill/>
            </a:ln>
            <a:solidFill>
              <a:sysClr val="windowText" lastClr="000000"/>
            </a:solidFill>
            <a:effectLst/>
            <a:uLnTx/>
            <a:uFillTx/>
            <a:latin typeface="Calibri"/>
            <a:ea typeface="宋体"/>
            <a:cs typeface="+mn-cs"/>
          </a:endParaRPr>
        </a:p>
      </xdr:txBody>
    </xdr:sp>
    <xdr:clientData/>
  </xdr:twoCellAnchor>
  <xdr:twoCellAnchor>
    <xdr:from>
      <xdr:col>5</xdr:col>
      <xdr:colOff>150495</xdr:colOff>
      <xdr:row>85</xdr:row>
      <xdr:rowOff>148590</xdr:rowOff>
    </xdr:from>
    <xdr:to>
      <xdr:col>5</xdr:col>
      <xdr:colOff>541020</xdr:colOff>
      <xdr:row>87</xdr:row>
      <xdr:rowOff>37254</xdr:rowOff>
    </xdr:to>
    <xdr:sp macro="" textlink="">
      <xdr:nvSpPr>
        <xdr:cNvPr id="204" name="TextBox 203"/>
        <xdr:cNvSpPr txBox="1"/>
      </xdr:nvSpPr>
      <xdr:spPr>
        <a:xfrm>
          <a:off x="4120515" y="15975330"/>
          <a:ext cx="390525" cy="254424"/>
        </a:xfrm>
        <a:prstGeom prst="rect">
          <a:avLst/>
        </a:prstGeom>
        <a:noFill/>
        <a:ln>
          <a:noFill/>
        </a:ln>
        <a:effectLst/>
      </xdr:spPr>
      <xdr:txBody>
        <a:bodyPr vertOverflow="clip" horzOverflow="clip" wrap="non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en-US" altLang="zh-CN" sz="1000" b="0" i="0" u="none" strike="noStrike" kern="0" cap="none" spc="0" normalizeH="0" baseline="0" noProof="0">
              <a:ln>
                <a:noFill/>
              </a:ln>
              <a:solidFill>
                <a:sysClr val="windowText" lastClr="000000"/>
              </a:solidFill>
              <a:effectLst/>
              <a:uLnTx/>
              <a:uFillTx/>
              <a:latin typeface="Calibri"/>
              <a:ea typeface="宋体"/>
              <a:cs typeface="+mn-cs"/>
            </a:rPr>
            <a:t>Lb=</a:t>
          </a:r>
          <a:endParaRPr kumimoji="0" lang="zh-CN" altLang="en-US" sz="1000" b="0" i="0" u="none" strike="noStrike" kern="0" cap="none" spc="0" normalizeH="0" baseline="0" noProof="0">
            <a:ln>
              <a:noFill/>
            </a:ln>
            <a:solidFill>
              <a:sysClr val="windowText" lastClr="000000"/>
            </a:solidFill>
            <a:effectLst/>
            <a:uLnTx/>
            <a:uFillTx/>
            <a:latin typeface="Calibri"/>
            <a:ea typeface="宋体"/>
            <a:cs typeface="+mn-cs"/>
          </a:endParaRPr>
        </a:p>
      </xdr:txBody>
    </xdr:sp>
    <xdr:clientData/>
  </xdr:twoCellAnchor>
  <xdr:twoCellAnchor>
    <xdr:from>
      <xdr:col>6</xdr:col>
      <xdr:colOff>219075</xdr:colOff>
      <xdr:row>13</xdr:row>
      <xdr:rowOff>66675</xdr:rowOff>
    </xdr:from>
    <xdr:to>
      <xdr:col>8</xdr:col>
      <xdr:colOff>276225</xdr:colOff>
      <xdr:row>23</xdr:row>
      <xdr:rowOff>28575</xdr:rowOff>
    </xdr:to>
    <xdr:grpSp>
      <xdr:nvGrpSpPr>
        <xdr:cNvPr id="13" name="组合 12"/>
        <xdr:cNvGrpSpPr/>
      </xdr:nvGrpSpPr>
      <xdr:grpSpPr>
        <a:xfrm>
          <a:off x="5781675" y="2514600"/>
          <a:ext cx="1981200" cy="1866900"/>
          <a:chOff x="5086350" y="5257800"/>
          <a:chExt cx="1981200" cy="1990725"/>
        </a:xfrm>
      </xdr:grpSpPr>
      <xdr:sp macro="" textlink="">
        <xdr:nvSpPr>
          <xdr:cNvPr id="4" name="矩形 3"/>
          <xdr:cNvSpPr/>
        </xdr:nvSpPr>
        <xdr:spPr bwMode="auto">
          <a:xfrm>
            <a:off x="6334125" y="5957887"/>
            <a:ext cx="676276" cy="857250"/>
          </a:xfrm>
          <a:prstGeom prst="rec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6" name="矩形 5"/>
          <xdr:cNvSpPr/>
        </xdr:nvSpPr>
        <xdr:spPr bwMode="auto">
          <a:xfrm>
            <a:off x="5095875" y="6142196"/>
            <a:ext cx="1362075" cy="450533"/>
          </a:xfrm>
          <a:prstGeom prst="rec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08" name="矩形 207"/>
          <xdr:cNvSpPr/>
        </xdr:nvSpPr>
        <xdr:spPr bwMode="auto">
          <a:xfrm>
            <a:off x="5705475" y="5534025"/>
            <a:ext cx="1362075" cy="409575"/>
          </a:xfrm>
          <a:prstGeom prst="rec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vertOverflow="clip" horzOverflow="clip" rtlCol="0" anchor="t"/>
          <a:lstStyle/>
          <a:p>
            <a:pPr algn="l"/>
            <a:endParaRPr lang="zh-CN" altLang="en-US" sz="1100"/>
          </a:p>
        </xdr:txBody>
      </xdr:sp>
      <xdr:sp macro="" textlink="">
        <xdr:nvSpPr>
          <xdr:cNvPr id="209" name="矩形 208"/>
          <xdr:cNvSpPr/>
        </xdr:nvSpPr>
        <xdr:spPr bwMode="auto">
          <a:xfrm>
            <a:off x="5705475" y="6819900"/>
            <a:ext cx="1362075" cy="409575"/>
          </a:xfrm>
          <a:prstGeom prst="rec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vertOverflow="clip" horzOverflow="clip" rtlCol="0" anchor="t"/>
          <a:lstStyle/>
          <a:p>
            <a:pPr algn="l"/>
            <a:endParaRPr lang="zh-CN" altLang="en-US" sz="1100"/>
          </a:p>
        </xdr:txBody>
      </xdr:sp>
      <xdr:cxnSp macro="">
        <xdr:nvCxnSpPr>
          <xdr:cNvPr id="210" name="直接箭头连接符 209"/>
          <xdr:cNvCxnSpPr/>
        </xdr:nvCxnSpPr>
        <xdr:spPr>
          <a:xfrm>
            <a:off x="5118692" y="7038975"/>
            <a:ext cx="545779"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7" name="TextBox 6"/>
          <xdr:cNvSpPr txBox="1"/>
        </xdr:nvSpPr>
        <xdr:spPr>
          <a:xfrm>
            <a:off x="5143500" y="6772275"/>
            <a:ext cx="533400" cy="2000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900"/>
              <a:t>L1=L3</a:t>
            </a:r>
            <a:endParaRPr lang="zh-CN" altLang="en-US" sz="900"/>
          </a:p>
        </xdr:txBody>
      </xdr:sp>
      <xdr:cxnSp macro="">
        <xdr:nvCxnSpPr>
          <xdr:cNvPr id="9" name="直接连接符 8"/>
          <xdr:cNvCxnSpPr/>
        </xdr:nvCxnSpPr>
        <xdr:spPr>
          <a:xfrm>
            <a:off x="5105400" y="6657975"/>
            <a:ext cx="0" cy="590550"/>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11" name="直接连接符 210"/>
          <xdr:cNvCxnSpPr/>
        </xdr:nvCxnSpPr>
        <xdr:spPr>
          <a:xfrm>
            <a:off x="5086350" y="5331514"/>
            <a:ext cx="0" cy="678761"/>
          </a:xfrm>
          <a:prstGeom prst="line">
            <a:avLst/>
          </a:prstGeom>
          <a:ln>
            <a:solidFill>
              <a:sysClr val="windowText" lastClr="000000"/>
            </a:solidFill>
          </a:ln>
        </xdr:spPr>
        <xdr:style>
          <a:lnRef idx="1">
            <a:schemeClr val="accent1"/>
          </a:lnRef>
          <a:fillRef idx="0">
            <a:schemeClr val="accent1"/>
          </a:fillRef>
          <a:effectRef idx="0">
            <a:schemeClr val="accent1"/>
          </a:effectRef>
          <a:fontRef idx="minor">
            <a:schemeClr val="tx1"/>
          </a:fontRef>
        </xdr:style>
      </xdr:cxnSp>
      <xdr:cxnSp macro="">
        <xdr:nvCxnSpPr>
          <xdr:cNvPr id="212" name="直接箭头连接符 211"/>
          <xdr:cNvCxnSpPr/>
        </xdr:nvCxnSpPr>
        <xdr:spPr>
          <a:xfrm>
            <a:off x="5086350" y="5467350"/>
            <a:ext cx="1952625"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213" name="直接连接符 212"/>
          <xdr:cNvCxnSpPr/>
        </xdr:nvCxnSpPr>
        <xdr:spPr>
          <a:xfrm>
            <a:off x="7058025" y="5317716"/>
            <a:ext cx="0" cy="207772"/>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sp macro="" textlink="">
        <xdr:nvSpPr>
          <xdr:cNvPr id="214" name="TextBox 213"/>
          <xdr:cNvSpPr txBox="1"/>
        </xdr:nvSpPr>
        <xdr:spPr>
          <a:xfrm>
            <a:off x="5391150" y="5257800"/>
            <a:ext cx="533400" cy="200025"/>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n-US" altLang="zh-CN" sz="900"/>
              <a:t>L2</a:t>
            </a:r>
            <a:endParaRPr lang="zh-CN" altLang="en-US" sz="900"/>
          </a:p>
        </xdr:txBody>
      </xdr:sp>
    </xdr:grpSp>
    <xdr:clientData/>
  </xdr:twoCellAnchor>
  <xdr:twoCellAnchor>
    <xdr:from>
      <xdr:col>1</xdr:col>
      <xdr:colOff>95250</xdr:colOff>
      <xdr:row>24</xdr:row>
      <xdr:rowOff>28575</xdr:rowOff>
    </xdr:from>
    <xdr:to>
      <xdr:col>3</xdr:col>
      <xdr:colOff>386486</xdr:colOff>
      <xdr:row>31</xdr:row>
      <xdr:rowOff>64539</xdr:rowOff>
    </xdr:to>
    <xdr:grpSp>
      <xdr:nvGrpSpPr>
        <xdr:cNvPr id="205" name="组合 204"/>
        <xdr:cNvGrpSpPr/>
      </xdr:nvGrpSpPr>
      <xdr:grpSpPr>
        <a:xfrm>
          <a:off x="333375" y="4572000"/>
          <a:ext cx="2824886" cy="1369464"/>
          <a:chOff x="257173" y="6487546"/>
          <a:chExt cx="3124251" cy="2161835"/>
        </a:xfrm>
      </xdr:grpSpPr>
      <xdr:sp macro="" textlink="">
        <xdr:nvSpPr>
          <xdr:cNvPr id="206" name="矩形 205"/>
          <xdr:cNvSpPr/>
        </xdr:nvSpPr>
        <xdr:spPr bwMode="auto">
          <a:xfrm>
            <a:off x="257173" y="7545705"/>
            <a:ext cx="3107023" cy="571500"/>
          </a:xfrm>
          <a:prstGeom prst="rec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vertOverflow="clip" horzOverflow="clip" rtlCol="0" anchor="t"/>
          <a:lstStyle/>
          <a:p>
            <a:pPr algn="l"/>
            <a:endParaRPr lang="zh-CN" altLang="en-US" sz="1100"/>
          </a:p>
        </xdr:txBody>
      </xdr:sp>
      <xdr:cxnSp macro="">
        <xdr:nvCxnSpPr>
          <xdr:cNvPr id="215" name="直接连接符 214"/>
          <xdr:cNvCxnSpPr/>
        </xdr:nvCxnSpPr>
        <xdr:spPr>
          <a:xfrm>
            <a:off x="3381424" y="8133140"/>
            <a:ext cx="0" cy="504576"/>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cxnSp macro="">
        <xdr:nvCxnSpPr>
          <xdr:cNvPr id="218" name="直接箭头连接符 217"/>
          <xdr:cNvCxnSpPr/>
        </xdr:nvCxnSpPr>
        <xdr:spPr>
          <a:xfrm>
            <a:off x="270026" y="6866089"/>
            <a:ext cx="766425"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221" name="直接连接符 220"/>
          <xdr:cNvCxnSpPr/>
        </xdr:nvCxnSpPr>
        <xdr:spPr>
          <a:xfrm>
            <a:off x="257930" y="6726627"/>
            <a:ext cx="0" cy="321862"/>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cxnSp macro="">
        <xdr:nvCxnSpPr>
          <xdr:cNvPr id="222" name="直接连接符 221"/>
          <xdr:cNvCxnSpPr/>
        </xdr:nvCxnSpPr>
        <xdr:spPr>
          <a:xfrm>
            <a:off x="1069578" y="6758194"/>
            <a:ext cx="0" cy="243398"/>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sp macro="" textlink="">
        <xdr:nvSpPr>
          <xdr:cNvPr id="224" name="TextBox 223"/>
          <xdr:cNvSpPr txBox="1"/>
        </xdr:nvSpPr>
        <xdr:spPr>
          <a:xfrm>
            <a:off x="339315" y="6487546"/>
            <a:ext cx="617249" cy="2556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r>
              <a:rPr lang="zh-CN" altLang="en-US" sz="800"/>
              <a:t>上宽</a:t>
            </a:r>
            <a:r>
              <a:rPr lang="en-US" altLang="zh-CN" sz="800"/>
              <a:t>L1</a:t>
            </a:r>
            <a:endParaRPr lang="zh-CN" altLang="en-US" sz="800"/>
          </a:p>
        </xdr:txBody>
      </xdr:sp>
      <xdr:cxnSp macro="">
        <xdr:nvCxnSpPr>
          <xdr:cNvPr id="226" name="直接连接符 225"/>
          <xdr:cNvCxnSpPr/>
        </xdr:nvCxnSpPr>
        <xdr:spPr>
          <a:xfrm>
            <a:off x="261404" y="7630291"/>
            <a:ext cx="0" cy="1019090"/>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cxnSp macro="">
        <xdr:nvCxnSpPr>
          <xdr:cNvPr id="229" name="直接箭头连接符 228"/>
          <xdr:cNvCxnSpPr/>
        </xdr:nvCxnSpPr>
        <xdr:spPr>
          <a:xfrm>
            <a:off x="274402" y="8504802"/>
            <a:ext cx="3063044"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235" name="流程图: 手动输入 234"/>
          <xdr:cNvSpPr/>
        </xdr:nvSpPr>
        <xdr:spPr bwMode="auto">
          <a:xfrm rot="5400000">
            <a:off x="500061" y="6767512"/>
            <a:ext cx="533399" cy="1019175"/>
          </a:xfrm>
          <a:prstGeom prst="flowChartManualInpu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clientData/>
  </xdr:twoCellAnchor>
  <xdr:twoCellAnchor>
    <xdr:from>
      <xdr:col>2</xdr:col>
      <xdr:colOff>219075</xdr:colOff>
      <xdr:row>29</xdr:row>
      <xdr:rowOff>180975</xdr:rowOff>
    </xdr:from>
    <xdr:to>
      <xdr:col>2</xdr:col>
      <xdr:colOff>695325</xdr:colOff>
      <xdr:row>31</xdr:row>
      <xdr:rowOff>19050</xdr:rowOff>
    </xdr:to>
    <xdr:sp macro="" textlink="">
      <xdr:nvSpPr>
        <xdr:cNvPr id="237" name="TextBox 236"/>
        <xdr:cNvSpPr txBox="1"/>
      </xdr:nvSpPr>
      <xdr:spPr>
        <a:xfrm>
          <a:off x="1143000" y="8543925"/>
          <a:ext cx="476250" cy="219075"/>
        </a:xfrm>
        <a:prstGeom prst="rect">
          <a:avLst/>
        </a:prstGeom>
        <a:noFill/>
        <a:ln>
          <a:noFill/>
        </a:ln>
        <a:effectLst/>
      </xdr:spPr>
      <xdr:txBody>
        <a:bodyPr vertOverflow="clip" horzOverflow="clip" wrap="non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rPr>
            <a:t>下宽</a:t>
          </a:r>
          <a:r>
            <a:rPr kumimoji="0" lang="en-US" altLang="zh-CN" sz="800" b="0" i="0" u="none" strike="noStrike" kern="0" cap="none" spc="0" normalizeH="0" baseline="0" noProof="0">
              <a:ln>
                <a:noFill/>
              </a:ln>
              <a:solidFill>
                <a:sysClr val="windowText" lastClr="000000"/>
              </a:solidFill>
              <a:effectLst/>
              <a:uLnTx/>
              <a:uFillTx/>
              <a:latin typeface="Calibri"/>
              <a:ea typeface="宋体"/>
              <a:cs typeface="+mn-cs"/>
            </a:rPr>
            <a:t>L2</a:t>
          </a:r>
          <a:endParaRPr kumimoji="0" lang="zh-CN" altLang="en-US" sz="800" b="0" i="0" u="none" strike="noStrike" kern="0" cap="none" spc="0" normalizeH="0" baseline="0" noProof="0">
            <a:ln>
              <a:noFill/>
            </a:ln>
            <a:solidFill>
              <a:sysClr val="windowText" lastClr="000000"/>
            </a:solidFill>
            <a:effectLst/>
            <a:uLnTx/>
            <a:uFillTx/>
            <a:latin typeface="Calibri"/>
            <a:ea typeface="宋体"/>
            <a:cs typeface="+mn-cs"/>
          </a:endParaRPr>
        </a:p>
      </xdr:txBody>
    </xdr:sp>
    <xdr:clientData/>
  </xdr:twoCellAnchor>
  <xdr:twoCellAnchor>
    <xdr:from>
      <xdr:col>4</xdr:col>
      <xdr:colOff>561975</xdr:colOff>
      <xdr:row>25</xdr:row>
      <xdr:rowOff>66675</xdr:rowOff>
    </xdr:from>
    <xdr:to>
      <xdr:col>6</xdr:col>
      <xdr:colOff>352425</xdr:colOff>
      <xdr:row>31</xdr:row>
      <xdr:rowOff>148185</xdr:rowOff>
    </xdr:to>
    <xdr:grpSp>
      <xdr:nvGrpSpPr>
        <xdr:cNvPr id="2" name="组合 1"/>
        <xdr:cNvGrpSpPr/>
      </xdr:nvGrpSpPr>
      <xdr:grpSpPr>
        <a:xfrm>
          <a:off x="4314825" y="4800600"/>
          <a:ext cx="1600200" cy="1224510"/>
          <a:chOff x="3714750" y="7629525"/>
          <a:chExt cx="1600200" cy="1224510"/>
        </a:xfrm>
      </xdr:grpSpPr>
      <xdr:sp macro="" textlink="">
        <xdr:nvSpPr>
          <xdr:cNvPr id="236" name="矩形 235"/>
          <xdr:cNvSpPr/>
        </xdr:nvSpPr>
        <xdr:spPr bwMode="auto">
          <a:xfrm>
            <a:off x="3714750" y="7629525"/>
            <a:ext cx="1600200" cy="904875"/>
          </a:xfrm>
          <a:prstGeom prst="rect">
            <a:avLst/>
          </a:prstGeom>
          <a:solidFill>
            <a:schemeClr val="accent1">
              <a:lumMod val="60000"/>
              <a:lumOff val="40000"/>
            </a:schemeClr>
          </a:solidFill>
          <a:ln w="9525">
            <a:solidFill>
              <a:schemeClr val="accent1">
                <a:lumMod val="60000"/>
                <a:lumOff val="40000"/>
              </a:schemeClr>
            </a:solidFill>
            <a:round/>
            <a:headEnd type="stealth" w="med" len="med"/>
            <a:tailEnd type="stealth" w="med" len="med"/>
          </a:ln>
          <a:extLst/>
        </xdr:spPr>
        <xdr:txBody>
          <a:bodyPr rot="0" spcFirstLastPara="0" vertOverflow="clip" horzOverflow="clip" vert="horz" wrap="square" lIns="91440" tIns="45720" rIns="91440" bIns="45720" numCol="1" spcCol="0" rtlCol="0" fromWordArt="0" anchor="t" anchorCtr="0" forceAA="0" compatLnSpc="1">
            <a:prstTxWarp prst="textNoShape">
              <a:avLst/>
            </a:prstTxWarp>
            <a:noAutofit/>
          </a:bodyPr>
          <a:lstStyle/>
          <a:p>
            <a:pPr algn="l"/>
            <a:endParaRPr lang="zh-CN" altLang="en-US" sz="1100"/>
          </a:p>
        </xdr:txBody>
      </xdr:sp>
      <xdr:cxnSp macro="">
        <xdr:nvCxnSpPr>
          <xdr:cNvPr id="239" name="直接连接符 238"/>
          <xdr:cNvCxnSpPr/>
        </xdr:nvCxnSpPr>
        <xdr:spPr>
          <a:xfrm>
            <a:off x="3714750" y="8524875"/>
            <a:ext cx="0" cy="319635"/>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cxnSp macro="">
        <xdr:nvCxnSpPr>
          <xdr:cNvPr id="245" name="直接连接符 244"/>
          <xdr:cNvCxnSpPr/>
        </xdr:nvCxnSpPr>
        <xdr:spPr>
          <a:xfrm>
            <a:off x="5305425" y="8534400"/>
            <a:ext cx="0" cy="319635"/>
          </a:xfrm>
          <a:prstGeom prst="line">
            <a:avLst/>
          </a:prstGeom>
          <a:ln>
            <a:solidFill>
              <a:schemeClr val="tx1"/>
            </a:solidFill>
            <a:prstDash val="solid"/>
          </a:ln>
        </xdr:spPr>
        <xdr:style>
          <a:lnRef idx="1">
            <a:schemeClr val="accent1"/>
          </a:lnRef>
          <a:fillRef idx="0">
            <a:schemeClr val="accent1"/>
          </a:fillRef>
          <a:effectRef idx="0">
            <a:schemeClr val="accent1"/>
          </a:effectRef>
          <a:fontRef idx="minor">
            <a:schemeClr val="tx1"/>
          </a:fontRef>
        </xdr:style>
      </xdr:cxnSp>
      <xdr:cxnSp macro="">
        <xdr:nvCxnSpPr>
          <xdr:cNvPr id="247" name="直接箭头连接符 246"/>
          <xdr:cNvCxnSpPr/>
        </xdr:nvCxnSpPr>
        <xdr:spPr>
          <a:xfrm>
            <a:off x="3718363" y="8734425"/>
            <a:ext cx="1576545"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447675</xdr:colOff>
      <xdr:row>98</xdr:row>
      <xdr:rowOff>47625</xdr:rowOff>
    </xdr:from>
    <xdr:to>
      <xdr:col>1</xdr:col>
      <xdr:colOff>447675</xdr:colOff>
      <xdr:row>99</xdr:row>
      <xdr:rowOff>114300</xdr:rowOff>
    </xdr:to>
    <xdr:cxnSp macro="">
      <xdr:nvCxnSpPr>
        <xdr:cNvPr id="248" name="直接连接符 247"/>
        <xdr:cNvCxnSpPr/>
      </xdr:nvCxnSpPr>
      <xdr:spPr>
        <a:xfrm>
          <a:off x="685800" y="17649825"/>
          <a:ext cx="0" cy="25717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714375</xdr:colOff>
      <xdr:row>98</xdr:row>
      <xdr:rowOff>38100</xdr:rowOff>
    </xdr:from>
    <xdr:to>
      <xdr:col>4</xdr:col>
      <xdr:colOff>714375</xdr:colOff>
      <xdr:row>99</xdr:row>
      <xdr:rowOff>104775</xdr:rowOff>
    </xdr:to>
    <xdr:cxnSp macro="">
      <xdr:nvCxnSpPr>
        <xdr:cNvPr id="250" name="直接连接符 249"/>
        <xdr:cNvCxnSpPr/>
      </xdr:nvCxnSpPr>
      <xdr:spPr>
        <a:xfrm>
          <a:off x="3867150" y="17640300"/>
          <a:ext cx="0" cy="25717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495300</xdr:colOff>
      <xdr:row>99</xdr:row>
      <xdr:rowOff>19050</xdr:rowOff>
    </xdr:from>
    <xdr:to>
      <xdr:col>4</xdr:col>
      <xdr:colOff>647700</xdr:colOff>
      <xdr:row>99</xdr:row>
      <xdr:rowOff>19050</xdr:rowOff>
    </xdr:to>
    <xdr:cxnSp macro="">
      <xdr:nvCxnSpPr>
        <xdr:cNvPr id="11" name="直接箭头连接符 10"/>
        <xdr:cNvCxnSpPr/>
      </xdr:nvCxnSpPr>
      <xdr:spPr>
        <a:xfrm>
          <a:off x="733425" y="17811750"/>
          <a:ext cx="3067050" cy="0"/>
        </a:xfrm>
        <a:prstGeom prst="straightConnector1">
          <a:avLst/>
        </a:prstGeom>
        <a:ln>
          <a:solidFill>
            <a:schemeClr val="tx1"/>
          </a:solidFill>
          <a:headEnd type="triangle" w="med" len="med"/>
          <a:tailEnd type="triangle" w="med" len="med"/>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98</xdr:row>
      <xdr:rowOff>161925</xdr:rowOff>
    </xdr:from>
    <xdr:to>
      <xdr:col>3</xdr:col>
      <xdr:colOff>771525</xdr:colOff>
      <xdr:row>100</xdr:row>
      <xdr:rowOff>50589</xdr:rowOff>
    </xdr:to>
    <xdr:sp macro="" textlink="">
      <xdr:nvSpPr>
        <xdr:cNvPr id="251" name="TextBox 250"/>
        <xdr:cNvSpPr txBox="1"/>
      </xdr:nvSpPr>
      <xdr:spPr>
        <a:xfrm>
          <a:off x="2552700" y="17764125"/>
          <a:ext cx="390525" cy="269664"/>
        </a:xfrm>
        <a:prstGeom prst="rect">
          <a:avLst/>
        </a:prstGeom>
        <a:noFill/>
        <a:ln>
          <a:noFill/>
        </a:ln>
        <a:effectLst/>
      </xdr:spPr>
      <xdr:txBody>
        <a:bodyPr vertOverflow="clip" horzOverflow="clip" wrap="none" rtlCol="0" anchor="t">
          <a:noAutofit/>
        </a:bodyP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altLang="zh-CN" sz="1000" b="0" i="0" u="none" strike="noStrike" kern="0" cap="none" spc="0" normalizeH="0" baseline="0" noProof="0">
              <a:ln>
                <a:noFill/>
              </a:ln>
              <a:solidFill>
                <a:sysClr val="windowText" lastClr="000000"/>
              </a:solidFill>
              <a:effectLst/>
              <a:uLnTx/>
              <a:uFillTx/>
              <a:latin typeface="Calibri"/>
              <a:ea typeface="宋体"/>
              <a:cs typeface="+mn-cs"/>
            </a:rPr>
            <a:t>mm</a:t>
          </a:r>
          <a:endParaRPr kumimoji="0" lang="zh-CN" altLang="en-US" sz="1000" b="0" i="0" u="none" strike="noStrike" kern="0" cap="none" spc="0" normalizeH="0" baseline="0" noProof="0">
            <a:ln>
              <a:noFill/>
            </a:ln>
            <a:solidFill>
              <a:sysClr val="windowText" lastClr="000000"/>
            </a:solidFill>
            <a:effectLst/>
            <a:uLnTx/>
            <a:uFillTx/>
            <a:latin typeface="Calibri"/>
            <a:ea typeface="宋体"/>
            <a:cs typeface="+mn-cs"/>
          </a:endParaRPr>
        </a:p>
      </xdr:txBody>
    </xdr:sp>
    <xdr:clientData/>
  </xdr:twoCellAnchor>
  <xdr:twoCellAnchor>
    <xdr:from>
      <xdr:col>3</xdr:col>
      <xdr:colOff>381000</xdr:colOff>
      <xdr:row>99</xdr:row>
      <xdr:rowOff>142875</xdr:rowOff>
    </xdr:from>
    <xdr:to>
      <xdr:col>3</xdr:col>
      <xdr:colOff>771525</xdr:colOff>
      <xdr:row>101</xdr:row>
      <xdr:rowOff>31539</xdr:rowOff>
    </xdr:to>
    <xdr:sp macro="" textlink="">
      <xdr:nvSpPr>
        <xdr:cNvPr id="252" name="TextBox 251"/>
        <xdr:cNvSpPr txBox="1"/>
      </xdr:nvSpPr>
      <xdr:spPr>
        <a:xfrm>
          <a:off x="2552700" y="17935575"/>
          <a:ext cx="390525" cy="269664"/>
        </a:xfrm>
        <a:prstGeom prst="rect">
          <a:avLst/>
        </a:prstGeom>
        <a:noFill/>
        <a:ln>
          <a:noFill/>
        </a:ln>
        <a:effectLst/>
      </xdr:spPr>
      <xdr:txBody>
        <a:bodyPr vertOverflow="clip" horzOverflow="clip" wrap="none" rtlCol="0" anchor="t">
          <a:noAutofit/>
        </a:bodyPr>
        <a:lstStyle/>
        <a:p>
          <a:pPr marL="0" marR="0" lvl="0" indent="0" algn="l" defTabSz="914400" eaLnBrk="1" fontAlgn="auto" latinLnBrk="0" hangingPunct="1">
            <a:lnSpc>
              <a:spcPct val="100000"/>
            </a:lnSpc>
            <a:spcBef>
              <a:spcPts val="0"/>
            </a:spcBef>
            <a:spcAft>
              <a:spcPts val="0"/>
            </a:spcAft>
            <a:buClrTx/>
            <a:buSzTx/>
            <a:buFontTx/>
            <a:buNone/>
            <a:tabLst/>
            <a:defRPr/>
          </a:pPr>
          <a:r>
            <a:rPr kumimoji="0" lang="en-US" altLang="zh-CN" sz="1000" b="0" i="0" u="none" strike="noStrike" kern="0" cap="none" spc="0" normalizeH="0" baseline="0" noProof="0">
              <a:ln>
                <a:noFill/>
              </a:ln>
              <a:solidFill>
                <a:sysClr val="windowText" lastClr="000000"/>
              </a:solidFill>
              <a:effectLst/>
              <a:uLnTx/>
              <a:uFillTx/>
              <a:latin typeface="Calibri"/>
              <a:ea typeface="宋体"/>
              <a:cs typeface="+mn-cs"/>
            </a:rPr>
            <a:t>mm</a:t>
          </a:r>
          <a:endParaRPr kumimoji="0" lang="zh-CN" altLang="en-US" sz="1000" b="0" i="0" u="none" strike="noStrike" kern="0" cap="none" spc="0" normalizeH="0" baseline="0" noProof="0">
            <a:ln>
              <a:noFill/>
            </a:ln>
            <a:solidFill>
              <a:sysClr val="windowText" lastClr="000000"/>
            </a:solidFill>
            <a:effectLst/>
            <a:uLnTx/>
            <a:uFillTx/>
            <a:latin typeface="Calibri"/>
            <a:ea typeface="宋体"/>
            <a:cs typeface="+mn-cs"/>
          </a:endParaRPr>
        </a:p>
      </xdr:txBody>
    </xdr:sp>
    <xdr:clientData/>
  </xdr:twoCellAnchor>
  <xdr:twoCellAnchor>
    <xdr:from>
      <xdr:col>3</xdr:col>
      <xdr:colOff>825865</xdr:colOff>
      <xdr:row>37</xdr:row>
      <xdr:rowOff>76200</xdr:rowOff>
    </xdr:from>
    <xdr:to>
      <xdr:col>4</xdr:col>
      <xdr:colOff>755285</xdr:colOff>
      <xdr:row>37</xdr:row>
      <xdr:rowOff>76200</xdr:rowOff>
    </xdr:to>
    <xdr:cxnSp macro="">
      <xdr:nvCxnSpPr>
        <xdr:cNvPr id="12" name="直接连接符 11"/>
        <xdr:cNvCxnSpPr/>
      </xdr:nvCxnSpPr>
      <xdr:spPr>
        <a:xfrm>
          <a:off x="3597640" y="7258050"/>
          <a:ext cx="910495" cy="0"/>
        </a:xfrm>
        <a:prstGeom prst="line">
          <a:avLst/>
        </a:prstGeom>
        <a:ln w="28575">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657225</xdr:colOff>
      <xdr:row>46</xdr:row>
      <xdr:rowOff>152400</xdr:rowOff>
    </xdr:from>
    <xdr:to>
      <xdr:col>7</xdr:col>
      <xdr:colOff>342900</xdr:colOff>
      <xdr:row>46</xdr:row>
      <xdr:rowOff>152400</xdr:rowOff>
    </xdr:to>
    <xdr:cxnSp macro="">
      <xdr:nvCxnSpPr>
        <xdr:cNvPr id="253" name="直接箭头连接符 252"/>
        <xdr:cNvCxnSpPr/>
      </xdr:nvCxnSpPr>
      <xdr:spPr>
        <a:xfrm>
          <a:off x="895350" y="9086850"/>
          <a:ext cx="5838825" cy="0"/>
        </a:xfrm>
        <a:prstGeom prst="straightConnector1">
          <a:avLst/>
        </a:prstGeom>
        <a:noFill/>
        <a:ln w="9525" cap="flat" cmpd="sng" algn="ctr">
          <a:solidFill>
            <a:sysClr val="windowText" lastClr="000000"/>
          </a:solidFill>
          <a:prstDash val="solid"/>
          <a:headEnd type="arrow"/>
          <a:tailEnd type="arrow"/>
        </a:ln>
        <a:effectLst/>
      </xdr:spPr>
    </xdr:cxnSp>
    <xdr:clientData/>
  </xdr:twoCellAnchor>
  <xdr:twoCellAnchor>
    <xdr:from>
      <xdr:col>3</xdr:col>
      <xdr:colOff>295275</xdr:colOff>
      <xdr:row>45</xdr:row>
      <xdr:rowOff>135255</xdr:rowOff>
    </xdr:from>
    <xdr:to>
      <xdr:col>4</xdr:col>
      <xdr:colOff>194310</xdr:colOff>
      <xdr:row>47</xdr:row>
      <xdr:rowOff>37865</xdr:rowOff>
    </xdr:to>
    <xdr:sp macro="" textlink="">
      <xdr:nvSpPr>
        <xdr:cNvPr id="254" name="TextBox 253"/>
        <xdr:cNvSpPr txBox="1"/>
      </xdr:nvSpPr>
      <xdr:spPr>
        <a:xfrm>
          <a:off x="2838450" y="8879205"/>
          <a:ext cx="880110" cy="283610"/>
        </a:xfrm>
        <a:prstGeom prst="rect">
          <a:avLst/>
        </a:prstGeom>
        <a:noFill/>
        <a:ln>
          <a:noFill/>
        </a:ln>
        <a:effectLst/>
      </xdr:spPr>
      <xdr:txBody>
        <a:bodyPr vertOverflow="clip" horzOverflow="clip" wrap="none" rtlCol="0" anchor="t">
          <a:noAutofit/>
        </a:bodyPr>
        <a:lstStyle/>
        <a:p>
          <a:pPr marL="0" marR="0" lvl="0" indent="0" defTabSz="914400" eaLnBrk="1" fontAlgn="auto" latinLnBrk="0" hangingPunct="1">
            <a:lnSpc>
              <a:spcPct val="100000"/>
            </a:lnSpc>
            <a:spcBef>
              <a:spcPts val="0"/>
            </a:spcBef>
            <a:spcAft>
              <a:spcPts val="0"/>
            </a:spcAft>
            <a:buClrTx/>
            <a:buSzTx/>
            <a:buFontTx/>
            <a:buNone/>
            <a:tabLst/>
            <a:defRPr/>
          </a:pPr>
          <a:r>
            <a:rPr kumimoji="0" lang="zh-CN" altLang="en-US" sz="900" b="0" i="0" u="none" strike="noStrike" kern="0" cap="none" spc="0" normalizeH="0" baseline="0" noProof="0">
              <a:ln>
                <a:noFill/>
              </a:ln>
              <a:solidFill>
                <a:sysClr val="windowText" lastClr="000000"/>
              </a:solidFill>
              <a:effectLst/>
              <a:uLnTx/>
              <a:uFillTx/>
              <a:latin typeface="Calibri"/>
              <a:ea typeface="宋体"/>
              <a:cs typeface="+mn-cs"/>
            </a:rPr>
            <a:t>极耳外底角距</a:t>
          </a:r>
        </a:p>
      </xdr:txBody>
    </xdr:sp>
    <xdr:clientData/>
  </xdr:twoCellAnchor>
  <xdr:twoCellAnchor>
    <xdr:from>
      <xdr:col>1</xdr:col>
      <xdr:colOff>571500</xdr:colOff>
      <xdr:row>45</xdr:row>
      <xdr:rowOff>123825</xdr:rowOff>
    </xdr:from>
    <xdr:to>
      <xdr:col>1</xdr:col>
      <xdr:colOff>571500</xdr:colOff>
      <xdr:row>46</xdr:row>
      <xdr:rowOff>180975</xdr:rowOff>
    </xdr:to>
    <xdr:cxnSp macro="">
      <xdr:nvCxnSpPr>
        <xdr:cNvPr id="15" name="直接连接符 14"/>
        <xdr:cNvCxnSpPr/>
      </xdr:nvCxnSpPr>
      <xdr:spPr>
        <a:xfrm>
          <a:off x="809625" y="8867775"/>
          <a:ext cx="0" cy="2476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142875</xdr:colOff>
      <xdr:row>38</xdr:row>
      <xdr:rowOff>95250</xdr:rowOff>
    </xdr:from>
    <xdr:to>
      <xdr:col>7</xdr:col>
      <xdr:colOff>142875</xdr:colOff>
      <xdr:row>40</xdr:row>
      <xdr:rowOff>152400</xdr:rowOff>
    </xdr:to>
    <xdr:cxnSp macro="">
      <xdr:nvCxnSpPr>
        <xdr:cNvPr id="255" name="直接连接符 254"/>
        <xdr:cNvCxnSpPr/>
      </xdr:nvCxnSpPr>
      <xdr:spPr>
        <a:xfrm>
          <a:off x="6257925" y="7467600"/>
          <a:ext cx="0" cy="4381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95250</xdr:colOff>
      <xdr:row>34</xdr:row>
      <xdr:rowOff>247650</xdr:rowOff>
    </xdr:from>
    <xdr:to>
      <xdr:col>7</xdr:col>
      <xdr:colOff>847725</xdr:colOff>
      <xdr:row>34</xdr:row>
      <xdr:rowOff>247650</xdr:rowOff>
    </xdr:to>
    <xdr:cxnSp macro="">
      <xdr:nvCxnSpPr>
        <xdr:cNvPr id="207" name="直接箭头连接符 206"/>
        <xdr:cNvCxnSpPr/>
      </xdr:nvCxnSpPr>
      <xdr:spPr>
        <a:xfrm>
          <a:off x="333375" y="6715125"/>
          <a:ext cx="6705600" cy="0"/>
        </a:xfrm>
        <a:prstGeom prst="straightConnector1">
          <a:avLst/>
        </a:prstGeom>
        <a:noFill/>
        <a:ln w="9525" cap="flat" cmpd="sng" algn="ctr">
          <a:solidFill>
            <a:sysClr val="windowText" lastClr="000000"/>
          </a:solidFill>
          <a:prstDash val="solid"/>
          <a:headEnd type="arrow"/>
          <a:tailEnd type="arrow"/>
        </a:ln>
        <a:effectLst/>
      </xdr:spPr>
    </xdr:cxnSp>
    <xdr:clientData/>
  </xdr:twoCellAnchor>
  <xdr:twoCellAnchor>
    <xdr:from>
      <xdr:col>1</xdr:col>
      <xdr:colOff>66675</xdr:colOff>
      <xdr:row>34</xdr:row>
      <xdr:rowOff>76200</xdr:rowOff>
    </xdr:from>
    <xdr:to>
      <xdr:col>1</xdr:col>
      <xdr:colOff>66675</xdr:colOff>
      <xdr:row>36</xdr:row>
      <xdr:rowOff>95250</xdr:rowOff>
    </xdr:to>
    <xdr:cxnSp macro="">
      <xdr:nvCxnSpPr>
        <xdr:cNvPr id="227" name="直接连接符 226"/>
        <xdr:cNvCxnSpPr/>
      </xdr:nvCxnSpPr>
      <xdr:spPr>
        <a:xfrm>
          <a:off x="304800" y="6543675"/>
          <a:ext cx="0" cy="5429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0</xdr:colOff>
      <xdr:row>33</xdr:row>
      <xdr:rowOff>171450</xdr:rowOff>
    </xdr:from>
    <xdr:to>
      <xdr:col>8</xdr:col>
      <xdr:colOff>0</xdr:colOff>
      <xdr:row>36</xdr:row>
      <xdr:rowOff>104775</xdr:rowOff>
    </xdr:to>
    <xdr:cxnSp macro="">
      <xdr:nvCxnSpPr>
        <xdr:cNvPr id="228" name="直接连接符 227"/>
        <xdr:cNvCxnSpPr/>
      </xdr:nvCxnSpPr>
      <xdr:spPr>
        <a:xfrm>
          <a:off x="7058025" y="6429375"/>
          <a:ext cx="0" cy="6667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533400</xdr:colOff>
      <xdr:row>35</xdr:row>
      <xdr:rowOff>76200</xdr:rowOff>
    </xdr:from>
    <xdr:to>
      <xdr:col>3</xdr:col>
      <xdr:colOff>533400</xdr:colOff>
      <xdr:row>37</xdr:row>
      <xdr:rowOff>142875</xdr:rowOff>
    </xdr:to>
    <xdr:cxnSp macro="">
      <xdr:nvCxnSpPr>
        <xdr:cNvPr id="202" name="直接连接符 201"/>
        <xdr:cNvCxnSpPr/>
      </xdr:nvCxnSpPr>
      <xdr:spPr>
        <a:xfrm>
          <a:off x="3305175" y="6877050"/>
          <a:ext cx="0" cy="44767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142875</xdr:colOff>
      <xdr:row>35</xdr:row>
      <xdr:rowOff>57150</xdr:rowOff>
    </xdr:from>
    <xdr:to>
      <xdr:col>5</xdr:col>
      <xdr:colOff>142875</xdr:colOff>
      <xdr:row>37</xdr:row>
      <xdr:rowOff>114300</xdr:rowOff>
    </xdr:to>
    <xdr:cxnSp macro="">
      <xdr:nvCxnSpPr>
        <xdr:cNvPr id="230" name="直接连接符 229"/>
        <xdr:cNvCxnSpPr/>
      </xdr:nvCxnSpPr>
      <xdr:spPr>
        <a:xfrm>
          <a:off x="4552950" y="6858000"/>
          <a:ext cx="0" cy="4381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600075</xdr:colOff>
      <xdr:row>36</xdr:row>
      <xdr:rowOff>9525</xdr:rowOff>
    </xdr:from>
    <xdr:to>
      <xdr:col>5</xdr:col>
      <xdr:colOff>123825</xdr:colOff>
      <xdr:row>36</xdr:row>
      <xdr:rowOff>9525</xdr:rowOff>
    </xdr:to>
    <xdr:cxnSp macro="">
      <xdr:nvCxnSpPr>
        <xdr:cNvPr id="256" name="直接箭头连接符 255"/>
        <xdr:cNvCxnSpPr/>
      </xdr:nvCxnSpPr>
      <xdr:spPr>
        <a:xfrm>
          <a:off x="3371850" y="7000875"/>
          <a:ext cx="1390650"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390525</xdr:colOff>
      <xdr:row>46</xdr:row>
      <xdr:rowOff>0</xdr:rowOff>
    </xdr:from>
    <xdr:to>
      <xdr:col>7</xdr:col>
      <xdr:colOff>390525</xdr:colOff>
      <xdr:row>47</xdr:row>
      <xdr:rowOff>57150</xdr:rowOff>
    </xdr:to>
    <xdr:cxnSp macro="">
      <xdr:nvCxnSpPr>
        <xdr:cNvPr id="257" name="直接连接符 256"/>
        <xdr:cNvCxnSpPr/>
      </xdr:nvCxnSpPr>
      <xdr:spPr>
        <a:xfrm>
          <a:off x="6781800" y="8934450"/>
          <a:ext cx="0" cy="247650"/>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7.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7</xdr:col>
          <xdr:colOff>0</xdr:colOff>
          <xdr:row>9</xdr:row>
          <xdr:rowOff>0</xdr:rowOff>
        </xdr:from>
        <xdr:to>
          <xdr:col>7</xdr:col>
          <xdr:colOff>1362075</xdr:colOff>
          <xdr:row>12</xdr:row>
          <xdr:rowOff>257175</xdr:rowOff>
        </xdr:to>
        <xdr:sp macro="" textlink="">
          <xdr:nvSpPr>
            <xdr:cNvPr id="30733" name="Object 13" hidden="1">
              <a:extLst>
                <a:ext uri="{63B3BB69-23CF-44E3-9099-C40C66FF867C}">
                  <a14:compatExt spid="_x0000_s30733"/>
                </a:ext>
              </a:extLst>
            </xdr:cNvPr>
            <xdr:cNvSpPr/>
          </xdr:nvSpPr>
          <xdr:spPr>
            <a:xfrm>
              <a:off x="0" y="0"/>
              <a:ext cx="0" cy="0"/>
            </a:xfrm>
            <a:prstGeom prst="rect">
              <a:avLst/>
            </a:prstGeom>
          </xdr:spPr>
        </xdr:sp>
        <xdr:clientData/>
      </xdr:twoCellAnchor>
    </mc:Choice>
    <mc:Fallback/>
  </mc:AlternateContent>
</xdr:wsDr>
</file>

<file path=xl/drawings/drawing8.xml><?xml version="1.0" encoding="utf-8"?>
<xdr:wsDr xmlns:xdr="http://schemas.openxmlformats.org/drawingml/2006/spreadsheetDrawing" xmlns:a="http://schemas.openxmlformats.org/drawingml/2006/main">
  <xdr:twoCellAnchor>
    <xdr:from>
      <xdr:col>2</xdr:col>
      <xdr:colOff>19050</xdr:colOff>
      <xdr:row>98</xdr:row>
      <xdr:rowOff>0</xdr:rowOff>
    </xdr:from>
    <xdr:to>
      <xdr:col>11</xdr:col>
      <xdr:colOff>247650</xdr:colOff>
      <xdr:row>105</xdr:row>
      <xdr:rowOff>0</xdr:rowOff>
    </xdr:to>
    <xdr:sp macro="" textlink="">
      <xdr:nvSpPr>
        <xdr:cNvPr id="11" name="矩形 10"/>
        <xdr:cNvSpPr/>
      </xdr:nvSpPr>
      <xdr:spPr>
        <a:xfrm>
          <a:off x="1390650" y="11830050"/>
          <a:ext cx="6400800" cy="1200150"/>
        </a:xfrm>
        <a:prstGeom prst="rect">
          <a:avLst/>
        </a:prstGeom>
        <a:solidFill>
          <a:schemeClr val="accent5">
            <a:lumMod val="40000"/>
            <a:lumOff val="60000"/>
          </a:schemeClr>
        </a:solidFill>
        <a:ln>
          <a:solidFill>
            <a:schemeClr val="accent5">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p>
      </xdr:txBody>
    </xdr:sp>
    <xdr:clientData/>
  </xdr:twoCellAnchor>
  <xdr:twoCellAnchor>
    <xdr:from>
      <xdr:col>11</xdr:col>
      <xdr:colOff>266700</xdr:colOff>
      <xdr:row>98</xdr:row>
      <xdr:rowOff>0</xdr:rowOff>
    </xdr:from>
    <xdr:to>
      <xdr:col>11</xdr:col>
      <xdr:colOff>733425</xdr:colOff>
      <xdr:row>98</xdr:row>
      <xdr:rowOff>0</xdr:rowOff>
    </xdr:to>
    <xdr:sp macro="" textlink="">
      <xdr:nvSpPr>
        <xdr:cNvPr id="12" name="Line 380"/>
        <xdr:cNvSpPr>
          <a:spLocks noChangeShapeType="1"/>
        </xdr:cNvSpPr>
      </xdr:nvSpPr>
      <xdr:spPr bwMode="auto">
        <a:xfrm>
          <a:off x="7810500" y="11830050"/>
          <a:ext cx="4191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276225</xdr:colOff>
      <xdr:row>105</xdr:row>
      <xdr:rowOff>0</xdr:rowOff>
    </xdr:from>
    <xdr:to>
      <xdr:col>12</xdr:col>
      <xdr:colOff>47625</xdr:colOff>
      <xdr:row>105</xdr:row>
      <xdr:rowOff>0</xdr:rowOff>
    </xdr:to>
    <xdr:sp macro="" textlink="">
      <xdr:nvSpPr>
        <xdr:cNvPr id="13" name="Line 380"/>
        <xdr:cNvSpPr>
          <a:spLocks noChangeShapeType="1"/>
        </xdr:cNvSpPr>
      </xdr:nvSpPr>
      <xdr:spPr bwMode="auto">
        <a:xfrm>
          <a:off x="7820025" y="13030200"/>
          <a:ext cx="4572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clientData/>
  </xdr:twoCellAnchor>
  <xdr:twoCellAnchor>
    <xdr:from>
      <xdr:col>11</xdr:col>
      <xdr:colOff>447675</xdr:colOff>
      <xdr:row>98</xdr:row>
      <xdr:rowOff>9525</xdr:rowOff>
    </xdr:from>
    <xdr:to>
      <xdr:col>11</xdr:col>
      <xdr:colOff>447675</xdr:colOff>
      <xdr:row>104</xdr:row>
      <xdr:rowOff>152400</xdr:rowOff>
    </xdr:to>
    <xdr:sp macro="" textlink="">
      <xdr:nvSpPr>
        <xdr:cNvPr id="14" name="Line 381"/>
        <xdr:cNvSpPr>
          <a:spLocks noChangeShapeType="1"/>
        </xdr:cNvSpPr>
      </xdr:nvSpPr>
      <xdr:spPr bwMode="auto">
        <a:xfrm>
          <a:off x="7658100" y="15268575"/>
          <a:ext cx="0" cy="1114425"/>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arrow" w="med" len="med"/>
          <a:tailEnd type="arrow" w="med" len="med"/>
        </a:ln>
        <a:extLst>
          <a:ext uri="{909E8E84-426E-40DD-AFC4-6F175D3DCCD1}">
            <a14:hiddenFill xmlns:a14="http://schemas.microsoft.com/office/drawing/2010/main">
              <a:noFill/>
            </a14:hiddenFill>
          </a:ext>
        </a:extLst>
      </xdr:spPr>
    </xdr:sp>
    <xdr:clientData/>
  </xdr:twoCellAnchor>
  <xdr:twoCellAnchor>
    <xdr:from>
      <xdr:col>1</xdr:col>
      <xdr:colOff>161925</xdr:colOff>
      <xdr:row>40</xdr:row>
      <xdr:rowOff>95250</xdr:rowOff>
    </xdr:from>
    <xdr:to>
      <xdr:col>1</xdr:col>
      <xdr:colOff>161925</xdr:colOff>
      <xdr:row>42</xdr:row>
      <xdr:rowOff>28575</xdr:rowOff>
    </xdr:to>
    <xdr:cxnSp macro="">
      <xdr:nvCxnSpPr>
        <xdr:cNvPr id="20" name="直接连接符 19"/>
        <xdr:cNvCxnSpPr/>
      </xdr:nvCxnSpPr>
      <xdr:spPr>
        <a:xfrm>
          <a:off x="847725" y="3524250"/>
          <a:ext cx="0" cy="2762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552450</xdr:colOff>
      <xdr:row>40</xdr:row>
      <xdr:rowOff>85725</xdr:rowOff>
    </xdr:from>
    <xdr:to>
      <xdr:col>10</xdr:col>
      <xdr:colOff>552450</xdr:colOff>
      <xdr:row>42</xdr:row>
      <xdr:rowOff>19050</xdr:rowOff>
    </xdr:to>
    <xdr:cxnSp macro="">
      <xdr:nvCxnSpPr>
        <xdr:cNvPr id="21" name="直接连接符 20"/>
        <xdr:cNvCxnSpPr/>
      </xdr:nvCxnSpPr>
      <xdr:spPr>
        <a:xfrm>
          <a:off x="6991350" y="3676650"/>
          <a:ext cx="0" cy="3143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762000</xdr:colOff>
      <xdr:row>40</xdr:row>
      <xdr:rowOff>161925</xdr:rowOff>
    </xdr:from>
    <xdr:ext cx="431657" cy="189796"/>
    <xdr:sp macro="" textlink="">
      <xdr:nvSpPr>
        <xdr:cNvPr id="22" name="Text Box 386"/>
        <xdr:cNvSpPr txBox="1">
          <a:spLocks noChangeArrowheads="1"/>
        </xdr:cNvSpPr>
      </xdr:nvSpPr>
      <xdr:spPr bwMode="auto">
        <a:xfrm>
          <a:off x="4114800" y="3590925"/>
          <a:ext cx="431657" cy="18979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±3mm</a:t>
          </a:r>
        </a:p>
      </xdr:txBody>
    </xdr:sp>
    <xdr:clientData/>
  </xdr:oneCellAnchor>
  <xdr:twoCellAnchor>
    <xdr:from>
      <xdr:col>2</xdr:col>
      <xdr:colOff>0</xdr:colOff>
      <xdr:row>73</xdr:row>
      <xdr:rowOff>114300</xdr:rowOff>
    </xdr:from>
    <xdr:to>
      <xdr:col>2</xdr:col>
      <xdr:colOff>0</xdr:colOff>
      <xdr:row>75</xdr:row>
      <xdr:rowOff>104775</xdr:rowOff>
    </xdr:to>
    <xdr:cxnSp macro="">
      <xdr:nvCxnSpPr>
        <xdr:cNvPr id="23" name="直接连接符 22"/>
        <xdr:cNvCxnSpPr/>
      </xdr:nvCxnSpPr>
      <xdr:spPr>
        <a:xfrm>
          <a:off x="1371600" y="8343900"/>
          <a:ext cx="0" cy="33337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552450</xdr:colOff>
      <xdr:row>73</xdr:row>
      <xdr:rowOff>85725</xdr:rowOff>
    </xdr:from>
    <xdr:to>
      <xdr:col>10</xdr:col>
      <xdr:colOff>552450</xdr:colOff>
      <xdr:row>75</xdr:row>
      <xdr:rowOff>76200</xdr:rowOff>
    </xdr:to>
    <xdr:cxnSp macro="">
      <xdr:nvCxnSpPr>
        <xdr:cNvPr id="24" name="直接连接符 23"/>
        <xdr:cNvCxnSpPr/>
      </xdr:nvCxnSpPr>
      <xdr:spPr>
        <a:xfrm>
          <a:off x="6991350" y="10325100"/>
          <a:ext cx="0" cy="31432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57150</xdr:colOff>
      <xdr:row>75</xdr:row>
      <xdr:rowOff>19050</xdr:rowOff>
    </xdr:from>
    <xdr:to>
      <xdr:col>10</xdr:col>
      <xdr:colOff>485775</xdr:colOff>
      <xdr:row>75</xdr:row>
      <xdr:rowOff>19050</xdr:rowOff>
    </xdr:to>
    <xdr:cxnSp macro="">
      <xdr:nvCxnSpPr>
        <xdr:cNvPr id="25" name="直接箭头连接符 24"/>
        <xdr:cNvCxnSpPr/>
      </xdr:nvCxnSpPr>
      <xdr:spPr>
        <a:xfrm>
          <a:off x="323850" y="10582275"/>
          <a:ext cx="6600825"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9525</xdr:colOff>
      <xdr:row>73</xdr:row>
      <xdr:rowOff>152400</xdr:rowOff>
    </xdr:from>
    <xdr:ext cx="431657" cy="189796"/>
    <xdr:sp macro="" textlink="">
      <xdr:nvSpPr>
        <xdr:cNvPr id="26" name="Text Box 386"/>
        <xdr:cNvSpPr txBox="1">
          <a:spLocks noChangeArrowheads="1"/>
        </xdr:cNvSpPr>
      </xdr:nvSpPr>
      <xdr:spPr bwMode="auto">
        <a:xfrm>
          <a:off x="4124325" y="8382000"/>
          <a:ext cx="431657" cy="18979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±3mm</a:t>
          </a:r>
        </a:p>
      </xdr:txBody>
    </xdr:sp>
    <xdr:clientData/>
  </xdr:oneCellAnchor>
  <xdr:twoCellAnchor>
    <xdr:from>
      <xdr:col>2</xdr:col>
      <xdr:colOff>9525</xdr:colOff>
      <xdr:row>104</xdr:row>
      <xdr:rowOff>152400</xdr:rowOff>
    </xdr:from>
    <xdr:to>
      <xdr:col>2</xdr:col>
      <xdr:colOff>9525</xdr:colOff>
      <xdr:row>106</xdr:row>
      <xdr:rowOff>142875</xdr:rowOff>
    </xdr:to>
    <xdr:cxnSp macro="">
      <xdr:nvCxnSpPr>
        <xdr:cNvPr id="27" name="直接连接符 26"/>
        <xdr:cNvCxnSpPr/>
      </xdr:nvCxnSpPr>
      <xdr:spPr>
        <a:xfrm>
          <a:off x="1381125" y="13011150"/>
          <a:ext cx="0" cy="33337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257175</xdr:colOff>
      <xdr:row>105</xdr:row>
      <xdr:rowOff>19050</xdr:rowOff>
    </xdr:from>
    <xdr:to>
      <xdr:col>11</xdr:col>
      <xdr:colOff>257175</xdr:colOff>
      <xdr:row>107</xdr:row>
      <xdr:rowOff>9525</xdr:rowOff>
    </xdr:to>
    <xdr:cxnSp macro="">
      <xdr:nvCxnSpPr>
        <xdr:cNvPr id="28" name="直接连接符 27"/>
        <xdr:cNvCxnSpPr/>
      </xdr:nvCxnSpPr>
      <xdr:spPr>
        <a:xfrm>
          <a:off x="7800975" y="13049250"/>
          <a:ext cx="0" cy="333375"/>
        </a:xfrm>
        <a:prstGeom prst="line">
          <a:avLst/>
        </a:prstGeom>
        <a:ln>
          <a:solidFill>
            <a:schemeClr val="tx1"/>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66675</xdr:colOff>
      <xdr:row>106</xdr:row>
      <xdr:rowOff>133350</xdr:rowOff>
    </xdr:from>
    <xdr:to>
      <xdr:col>11</xdr:col>
      <xdr:colOff>238125</xdr:colOff>
      <xdr:row>106</xdr:row>
      <xdr:rowOff>133350</xdr:rowOff>
    </xdr:to>
    <xdr:cxnSp macro="">
      <xdr:nvCxnSpPr>
        <xdr:cNvPr id="29" name="直接箭头连接符 28"/>
        <xdr:cNvCxnSpPr/>
      </xdr:nvCxnSpPr>
      <xdr:spPr>
        <a:xfrm>
          <a:off x="1438275" y="13335000"/>
          <a:ext cx="6343650"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6</xdr:col>
      <xdr:colOff>723900</xdr:colOff>
      <xdr:row>105</xdr:row>
      <xdr:rowOff>85725</xdr:rowOff>
    </xdr:from>
    <xdr:ext cx="431657" cy="189796"/>
    <xdr:sp macro="" textlink="">
      <xdr:nvSpPr>
        <xdr:cNvPr id="30" name="Text Box 386"/>
        <xdr:cNvSpPr txBox="1">
          <a:spLocks noChangeArrowheads="1"/>
        </xdr:cNvSpPr>
      </xdr:nvSpPr>
      <xdr:spPr bwMode="auto">
        <a:xfrm>
          <a:off x="4324350" y="20583525"/>
          <a:ext cx="431657" cy="18979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±3mm</a:t>
          </a:r>
        </a:p>
      </xdr:txBody>
    </xdr:sp>
    <xdr:clientData/>
  </xdr:oneCellAnchor>
  <xdr:oneCellAnchor>
    <xdr:from>
      <xdr:col>12</xdr:col>
      <xdr:colOff>485776</xdr:colOff>
      <xdr:row>100</xdr:row>
      <xdr:rowOff>152399</xdr:rowOff>
    </xdr:from>
    <xdr:ext cx="624334" cy="189796"/>
    <xdr:sp macro="" textlink="">
      <xdr:nvSpPr>
        <xdr:cNvPr id="31" name="Text Box 386"/>
        <xdr:cNvSpPr txBox="1">
          <a:spLocks noChangeArrowheads="1"/>
        </xdr:cNvSpPr>
      </xdr:nvSpPr>
      <xdr:spPr bwMode="auto">
        <a:xfrm>
          <a:off x="8715376" y="19840574"/>
          <a:ext cx="624334" cy="18979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square" lIns="18288" tIns="22860" rIns="0" bIns="0" anchor="t" upright="1">
          <a:spAutoFit/>
        </a:bodyPr>
        <a:lstStyle/>
        <a:p>
          <a:pPr marL="0" marR="0" lvl="0" indent="0" algn="l" defTabSz="914400" rtl="0" eaLnBrk="1" fontAlgn="auto" latinLnBrk="0" hangingPunct="1">
            <a:lnSpc>
              <a:spcPct val="100000"/>
            </a:lnSpc>
            <a:spcBef>
              <a:spcPts val="0"/>
            </a:spcBef>
            <a:spcAft>
              <a:spcPts val="0"/>
            </a:spcAft>
            <a:buClrTx/>
            <a:buSzTx/>
            <a:buFontTx/>
            <a:buNone/>
            <a:tabLst/>
            <a:defRPr sz="1000"/>
          </a:pPr>
          <a:r>
            <a:rPr kumimoji="0" lang="en-US" altLang="zh-CN" sz="1000" b="0" i="0" u="none" strike="noStrike" kern="0" cap="none" spc="0" normalizeH="0" baseline="0" noProof="0">
              <a:ln>
                <a:noFill/>
              </a:ln>
              <a:solidFill>
                <a:srgbClr val="000000"/>
              </a:solidFill>
              <a:effectLst/>
              <a:uLnTx/>
              <a:uFillTx/>
              <a:latin typeface="Arial"/>
              <a:cs typeface="Arial"/>
            </a:rPr>
            <a:t>±0.5mm</a:t>
          </a:r>
        </a:p>
      </xdr:txBody>
    </xdr:sp>
    <xdr:clientData/>
  </xdr:oneCellAnchor>
  <xdr:twoCellAnchor>
    <xdr:from>
      <xdr:col>2</xdr:col>
      <xdr:colOff>38100</xdr:colOff>
      <xdr:row>41</xdr:row>
      <xdr:rowOff>171450</xdr:rowOff>
    </xdr:from>
    <xdr:to>
      <xdr:col>10</xdr:col>
      <xdr:colOff>495300</xdr:colOff>
      <xdr:row>41</xdr:row>
      <xdr:rowOff>171450</xdr:rowOff>
    </xdr:to>
    <xdr:cxnSp macro="">
      <xdr:nvCxnSpPr>
        <xdr:cNvPr id="34" name="直接箭头连接符 33"/>
        <xdr:cNvCxnSpPr/>
      </xdr:nvCxnSpPr>
      <xdr:spPr>
        <a:xfrm>
          <a:off x="304800" y="3952875"/>
          <a:ext cx="6629400" cy="0"/>
        </a:xfrm>
        <a:prstGeom prst="straightConnector1">
          <a:avLst/>
        </a:prstGeom>
        <a:ln>
          <a:solidFill>
            <a:schemeClr val="tx1"/>
          </a:solidFill>
          <a:headEnd type="arrow"/>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152400</xdr:colOff>
      <xdr:row>34</xdr:row>
      <xdr:rowOff>66675</xdr:rowOff>
    </xdr:from>
    <xdr:to>
      <xdr:col>11</xdr:col>
      <xdr:colOff>47625</xdr:colOff>
      <xdr:row>40</xdr:row>
      <xdr:rowOff>9544</xdr:rowOff>
    </xdr:to>
    <xdr:grpSp>
      <xdr:nvGrpSpPr>
        <xdr:cNvPr id="37" name="组合 36"/>
        <xdr:cNvGrpSpPr/>
      </xdr:nvGrpSpPr>
      <xdr:grpSpPr>
        <a:xfrm>
          <a:off x="247650" y="6581775"/>
          <a:ext cx="7258050" cy="1085869"/>
          <a:chOff x="257175" y="19545300"/>
          <a:chExt cx="7010400" cy="1085869"/>
        </a:xfrm>
      </xdr:grpSpPr>
      <xdr:sp macro="" textlink="">
        <xdr:nvSpPr>
          <xdr:cNvPr id="38" name="Line 377"/>
          <xdr:cNvSpPr>
            <a:spLocks noChangeShapeType="1"/>
          </xdr:cNvSpPr>
        </xdr:nvSpPr>
        <xdr:spPr bwMode="auto">
          <a:xfrm>
            <a:off x="7058025" y="19916794"/>
            <a:ext cx="1809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39" name="Line 381"/>
          <xdr:cNvSpPr>
            <a:spLocks noChangeShapeType="1"/>
          </xdr:cNvSpPr>
        </xdr:nvSpPr>
        <xdr:spPr bwMode="auto">
          <a:xfrm>
            <a:off x="7210425" y="19935845"/>
            <a:ext cx="0" cy="676274"/>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sp macro="" textlink="">
        <xdr:nvSpPr>
          <xdr:cNvPr id="40" name="Line 379"/>
          <xdr:cNvSpPr>
            <a:spLocks noChangeShapeType="1"/>
          </xdr:cNvSpPr>
        </xdr:nvSpPr>
        <xdr:spPr bwMode="auto">
          <a:xfrm>
            <a:off x="7048500" y="19574827"/>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41" name="Line 382"/>
          <xdr:cNvSpPr>
            <a:spLocks noChangeShapeType="1"/>
          </xdr:cNvSpPr>
        </xdr:nvSpPr>
        <xdr:spPr bwMode="auto">
          <a:xfrm>
            <a:off x="7134225" y="19583400"/>
            <a:ext cx="0" cy="323850"/>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sp macro="" textlink="">
        <xdr:nvSpPr>
          <xdr:cNvPr id="42" name="Line 379"/>
          <xdr:cNvSpPr>
            <a:spLocks noChangeShapeType="1"/>
          </xdr:cNvSpPr>
        </xdr:nvSpPr>
        <xdr:spPr bwMode="auto">
          <a:xfrm>
            <a:off x="7077075" y="20631169"/>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grpSp>
        <xdr:nvGrpSpPr>
          <xdr:cNvPr id="43" name="组合 42"/>
          <xdr:cNvGrpSpPr/>
        </xdr:nvGrpSpPr>
        <xdr:grpSpPr>
          <a:xfrm>
            <a:off x="257175" y="19545300"/>
            <a:ext cx="6762750" cy="1085851"/>
            <a:chOff x="257175" y="24917400"/>
            <a:chExt cx="6762750" cy="1085851"/>
          </a:xfrm>
        </xdr:grpSpPr>
        <xdr:sp macro="" textlink="">
          <xdr:nvSpPr>
            <xdr:cNvPr id="44" name="Rectangle 410"/>
            <xdr:cNvSpPr>
              <a:spLocks noChangeArrowheads="1"/>
            </xdr:cNvSpPr>
          </xdr:nvSpPr>
          <xdr:spPr bwMode="auto">
            <a:xfrm>
              <a:off x="257175" y="25298403"/>
              <a:ext cx="6753225" cy="704848"/>
            </a:xfrm>
            <a:prstGeom prst="rect">
              <a:avLst/>
            </a:prstGeom>
            <a:solidFill>
              <a:srgbClr xmlns:mc="http://schemas.openxmlformats.org/markup-compatibility/2006" xmlns:a14="http://schemas.microsoft.com/office/drawing/2010/main" val="000000" mc:Ignorable="a14" a14:legacySpreadsheetColorIndex="8"/>
            </a:solidFill>
            <a:ln w="9525">
              <a:solidFill>
                <a:srgbClr xmlns:mc="http://schemas.openxmlformats.org/markup-compatibility/2006" xmlns:a14="http://schemas.microsoft.com/office/drawing/2010/main" val="000000" mc:Ignorable="a14" a14:legacySpreadsheetColorIndex="64"/>
              </a:solidFill>
              <a:miter lim="800000"/>
              <a:headEnd/>
              <a:tailEnd/>
            </a:ln>
          </xdr:spPr>
        </xdr:sp>
        <xdr:grpSp>
          <xdr:nvGrpSpPr>
            <xdr:cNvPr id="45" name="组合 44"/>
            <xdr:cNvGrpSpPr/>
          </xdr:nvGrpSpPr>
          <xdr:grpSpPr>
            <a:xfrm>
              <a:off x="5410200" y="24917400"/>
              <a:ext cx="466725" cy="371476"/>
              <a:chOff x="5381625" y="22231349"/>
              <a:chExt cx="466725" cy="371476"/>
            </a:xfrm>
          </xdr:grpSpPr>
          <xdr:sp macro="" textlink="">
            <xdr:nvSpPr>
              <xdr:cNvPr id="53"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54" name="矩形 53"/>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46" name="组合 45"/>
            <xdr:cNvGrpSpPr/>
          </xdr:nvGrpSpPr>
          <xdr:grpSpPr>
            <a:xfrm>
              <a:off x="3448050" y="24917401"/>
              <a:ext cx="466725" cy="371476"/>
              <a:chOff x="5381625" y="22231349"/>
              <a:chExt cx="466725" cy="371476"/>
            </a:xfrm>
          </xdr:grpSpPr>
          <xdr:sp macro="" textlink="">
            <xdr:nvSpPr>
              <xdr:cNvPr id="51"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52" name="矩形 51"/>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grpSp>
          <xdr:nvGrpSpPr>
            <xdr:cNvPr id="47" name="组合 46"/>
            <xdr:cNvGrpSpPr/>
          </xdr:nvGrpSpPr>
          <xdr:grpSpPr>
            <a:xfrm>
              <a:off x="1047750" y="24917401"/>
              <a:ext cx="466725" cy="371476"/>
              <a:chOff x="5381625" y="22231349"/>
              <a:chExt cx="466725" cy="371476"/>
            </a:xfrm>
          </xdr:grpSpPr>
          <xdr:sp macro="" textlink="">
            <xdr:nvSpPr>
              <xdr:cNvPr id="49" name="Rectangle 412"/>
              <xdr:cNvSpPr>
                <a:spLocks noChangeArrowheads="1"/>
              </xdr:cNvSpPr>
            </xdr:nvSpPr>
            <xdr:spPr bwMode="auto">
              <a:xfrm>
                <a:off x="5381625" y="22231349"/>
                <a:ext cx="466725" cy="361951"/>
              </a:xfrm>
              <a:prstGeom prst="rect">
                <a:avLst/>
              </a:prstGeom>
              <a:solidFill>
                <a:srgbClr xmlns:mc="http://schemas.openxmlformats.org/markup-compatibility/2006" xmlns:a14="http://schemas.microsoft.com/office/drawing/2010/main" val="CCFFFF" mc:Ignorable="a14" a14:legacySpreadsheetColorIndex="41"/>
              </a:solidFill>
              <a:ln w="9525">
                <a:noFill/>
                <a:miter lim="800000"/>
                <a:headEnd/>
                <a:tailEnd/>
              </a:ln>
            </xdr:spPr>
          </xdr:sp>
          <xdr:sp macro="" textlink="">
            <xdr:nvSpPr>
              <xdr:cNvPr id="50" name="矩形 49"/>
              <xdr:cNvSpPr/>
            </xdr:nvSpPr>
            <xdr:spPr bwMode="auto">
              <a:xfrm>
                <a:off x="5381625" y="22517100"/>
                <a:ext cx="466725" cy="85725"/>
              </a:xfrm>
              <a:prstGeom prst="rect">
                <a:avLst/>
              </a:prstGeom>
              <a:solidFill>
                <a:schemeClr val="bg1">
                  <a:lumMod val="85000"/>
                </a:schemeClr>
              </a:solidFill>
              <a:ln w="9525">
                <a:solidFill>
                  <a:schemeClr val="bg1">
                    <a:lumMod val="85000"/>
                  </a:schemeClr>
                </a:solidFill>
                <a:round/>
                <a:headEnd type="stealth" w="med" len="med"/>
                <a:tailEnd type="stealth" w="med" len="med"/>
              </a:ln>
              <a:extLst/>
            </xdr:spPr>
            <xdr:txBody>
              <a:bodyPr vertOverflow="clip" horzOverflow="clip" rtlCol="0" anchor="t"/>
              <a:lstStyle/>
              <a:p>
                <a:pPr algn="l"/>
                <a:endParaRPr lang="zh-CN" altLang="en-US" sz="1100"/>
              </a:p>
            </xdr:txBody>
          </xdr:sp>
        </xdr:grpSp>
        <xdr:cxnSp macro="">
          <xdr:nvCxnSpPr>
            <xdr:cNvPr id="48" name="直接连接符 47"/>
            <xdr:cNvCxnSpPr/>
          </xdr:nvCxnSpPr>
          <xdr:spPr>
            <a:xfrm>
              <a:off x="257175" y="25326975"/>
              <a:ext cx="6762750" cy="0"/>
            </a:xfrm>
            <a:prstGeom prst="line">
              <a:avLst/>
            </a:prstGeom>
            <a:ln w="57150">
              <a:solidFill>
                <a:schemeClr val="bg1">
                  <a:lumMod val="85000"/>
                </a:schemeClr>
              </a:solidFill>
            </a:ln>
          </xdr:spPr>
          <xdr:style>
            <a:lnRef idx="1">
              <a:schemeClr val="accent1"/>
            </a:lnRef>
            <a:fillRef idx="0">
              <a:schemeClr val="accent1"/>
            </a:fillRef>
            <a:effectRef idx="0">
              <a:schemeClr val="accent1"/>
            </a:effectRef>
            <a:fontRef idx="minor">
              <a:schemeClr val="tx1"/>
            </a:fontRef>
          </xdr:style>
        </xdr:cxnSp>
      </xdr:grpSp>
    </xdr:grpSp>
    <xdr:clientData/>
  </xdr:twoCellAnchor>
  <xdr:oneCellAnchor>
    <xdr:from>
      <xdr:col>11</xdr:col>
      <xdr:colOff>428625</xdr:colOff>
      <xdr:row>38</xdr:row>
      <xdr:rowOff>0</xdr:rowOff>
    </xdr:from>
    <xdr:ext cx="538609" cy="189796"/>
    <xdr:sp macro="" textlink="">
      <xdr:nvSpPr>
        <xdr:cNvPr id="74" name="Text Box 422"/>
        <xdr:cNvSpPr txBox="1">
          <a:spLocks noChangeArrowheads="1"/>
        </xdr:cNvSpPr>
      </xdr:nvSpPr>
      <xdr:spPr bwMode="auto">
        <a:xfrm>
          <a:off x="7639050" y="3209925"/>
          <a:ext cx="538609" cy="18979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11</xdr:col>
      <xdr:colOff>476250</xdr:colOff>
      <xdr:row>35</xdr:row>
      <xdr:rowOff>19050</xdr:rowOff>
    </xdr:from>
    <xdr:ext cx="538609" cy="189796"/>
    <xdr:sp macro="" textlink="">
      <xdr:nvSpPr>
        <xdr:cNvPr id="75" name="Text Box 422"/>
        <xdr:cNvSpPr txBox="1">
          <a:spLocks noChangeArrowheads="1"/>
        </xdr:cNvSpPr>
      </xdr:nvSpPr>
      <xdr:spPr bwMode="auto">
        <a:xfrm>
          <a:off x="7686675" y="2657475"/>
          <a:ext cx="538609" cy="189796"/>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twoCellAnchor>
    <xdr:from>
      <xdr:col>2</xdr:col>
      <xdr:colOff>0</xdr:colOff>
      <xdr:row>67</xdr:row>
      <xdr:rowOff>123825</xdr:rowOff>
    </xdr:from>
    <xdr:to>
      <xdr:col>10</xdr:col>
      <xdr:colOff>752476</xdr:colOff>
      <xdr:row>73</xdr:row>
      <xdr:rowOff>28594</xdr:rowOff>
    </xdr:to>
    <xdr:grpSp>
      <xdr:nvGrpSpPr>
        <xdr:cNvPr id="55" name="组合 54"/>
        <xdr:cNvGrpSpPr/>
      </xdr:nvGrpSpPr>
      <xdr:grpSpPr>
        <a:xfrm>
          <a:off x="266700" y="13354050"/>
          <a:ext cx="7172326" cy="990619"/>
          <a:chOff x="238124" y="12372956"/>
          <a:chExt cx="6924676" cy="990619"/>
        </a:xfrm>
      </xdr:grpSpPr>
      <xdr:sp macro="" textlink="">
        <xdr:nvSpPr>
          <xdr:cNvPr id="56" name="Line 377"/>
          <xdr:cNvSpPr>
            <a:spLocks noChangeShapeType="1"/>
          </xdr:cNvSpPr>
        </xdr:nvSpPr>
        <xdr:spPr bwMode="auto">
          <a:xfrm>
            <a:off x="6953250" y="12639675"/>
            <a:ext cx="180975"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57" name="Line 381"/>
          <xdr:cNvSpPr>
            <a:spLocks noChangeShapeType="1"/>
          </xdr:cNvSpPr>
        </xdr:nvSpPr>
        <xdr:spPr bwMode="auto">
          <a:xfrm>
            <a:off x="7105650" y="12668251"/>
            <a:ext cx="0" cy="676274"/>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grpSp>
        <xdr:nvGrpSpPr>
          <xdr:cNvPr id="58" name="组合 57"/>
          <xdr:cNvGrpSpPr/>
        </xdr:nvGrpSpPr>
        <xdr:grpSpPr>
          <a:xfrm>
            <a:off x="6943725" y="12372956"/>
            <a:ext cx="190500" cy="266699"/>
            <a:chOff x="6943725" y="11335616"/>
            <a:chExt cx="190500" cy="242454"/>
          </a:xfrm>
        </xdr:grpSpPr>
        <xdr:sp macro="" textlink="">
          <xdr:nvSpPr>
            <xdr:cNvPr id="71" name="Line 379"/>
            <xdr:cNvSpPr>
              <a:spLocks noChangeShapeType="1"/>
            </xdr:cNvSpPr>
          </xdr:nvSpPr>
          <xdr:spPr bwMode="auto">
            <a:xfrm>
              <a:off x="6943725" y="11353800"/>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sp macro="" textlink="">
          <xdr:nvSpPr>
            <xdr:cNvPr id="72" name="Line 382"/>
            <xdr:cNvSpPr>
              <a:spLocks noChangeShapeType="1"/>
            </xdr:cNvSpPr>
          </xdr:nvSpPr>
          <xdr:spPr bwMode="auto">
            <a:xfrm>
              <a:off x="7077075" y="11335616"/>
              <a:ext cx="0" cy="242454"/>
            </a:xfrm>
            <a:prstGeom prst="line">
              <a:avLst/>
            </a:prstGeom>
            <a:noFill/>
            <a:ln w="9525">
              <a:solidFill>
                <a:srgbClr xmlns:mc="http://schemas.openxmlformats.org/markup-compatibility/2006" xmlns:a14="http://schemas.microsoft.com/office/drawing/2010/main" val="000000" mc:Ignorable="a14" a14:legacySpreadsheetColorIndex="64"/>
              </a:solidFill>
              <a:round/>
              <a:headEnd type="triangle" w="med" len="med"/>
              <a:tailEnd type="triangle" w="med" len="med"/>
            </a:ln>
            <a:extLst>
              <a:ext uri="{909E8E84-426E-40DD-AFC4-6F175D3DCCD1}">
                <a14:hiddenFill xmlns:a14="http://schemas.microsoft.com/office/drawing/2010/main">
                  <a:noFill/>
                </a14:hiddenFill>
              </a:ext>
            </a:extLst>
          </xdr:spPr>
        </xdr:sp>
      </xdr:grpSp>
      <xdr:sp macro="" textlink="">
        <xdr:nvSpPr>
          <xdr:cNvPr id="59" name="Line 379"/>
          <xdr:cNvSpPr>
            <a:spLocks noChangeShapeType="1"/>
          </xdr:cNvSpPr>
        </xdr:nvSpPr>
        <xdr:spPr bwMode="auto">
          <a:xfrm>
            <a:off x="6972300" y="13363575"/>
            <a:ext cx="190500" cy="0"/>
          </a:xfrm>
          <a:prstGeom prst="line">
            <a:avLst/>
          </a:prstGeom>
          <a:noFill/>
          <a:ln w="9525">
            <a:solidFill>
              <a:srgbClr xmlns:mc="http://schemas.openxmlformats.org/markup-compatibility/2006" xmlns:a14="http://schemas.microsoft.com/office/drawing/2010/main" val="000000" mc:Ignorable="a14" a14:legacySpreadsheetColorIndex="64"/>
            </a:solidFill>
            <a:round/>
            <a:headEnd/>
            <a:tailEnd/>
          </a:ln>
          <a:extLst>
            <a:ext uri="{909E8E84-426E-40DD-AFC4-6F175D3DCCD1}">
              <a14:hiddenFill xmlns:a14="http://schemas.microsoft.com/office/drawing/2010/main">
                <a:noFill/>
              </a14:hiddenFill>
            </a:ext>
          </a:extLst>
        </xdr:spPr>
      </xdr:sp>
      <xdr:grpSp>
        <xdr:nvGrpSpPr>
          <xdr:cNvPr id="60" name="组合 59"/>
          <xdr:cNvGrpSpPr/>
        </xdr:nvGrpSpPr>
        <xdr:grpSpPr>
          <a:xfrm>
            <a:off x="238124" y="12392025"/>
            <a:ext cx="6715126" cy="971550"/>
            <a:chOff x="238124" y="11334750"/>
            <a:chExt cx="6715126" cy="885825"/>
          </a:xfrm>
        </xdr:grpSpPr>
        <xdr:sp macro="" textlink="">
          <xdr:nvSpPr>
            <xdr:cNvPr id="61" name="Rectangle 374"/>
            <xdr:cNvSpPr>
              <a:spLocks noChangeArrowheads="1"/>
            </xdr:cNvSpPr>
          </xdr:nvSpPr>
          <xdr:spPr bwMode="auto">
            <a:xfrm>
              <a:off x="238124" y="11553825"/>
              <a:ext cx="6715126" cy="666750"/>
            </a:xfrm>
            <a:prstGeom prst="rect">
              <a:avLst/>
            </a:prstGeom>
            <a:solidFill>
              <a:srgbClr xmlns:mc="http://schemas.openxmlformats.org/markup-compatibility/2006" xmlns:a14="http://schemas.microsoft.com/office/drawing/2010/main" val="C0C0C0" mc:Ignorable="a14" a14:legacySpreadsheetColorIndex="22"/>
            </a:solidFill>
            <a:ln w="9525">
              <a:solidFill>
                <a:schemeClr val="bg1">
                  <a:lumMod val="75000"/>
                </a:schemeClr>
              </a:solidFill>
              <a:miter lim="800000"/>
              <a:headEnd/>
              <a:tailEnd/>
            </a:ln>
          </xdr:spPr>
        </xdr:sp>
        <xdr:grpSp>
          <xdr:nvGrpSpPr>
            <xdr:cNvPr id="62" name="组合 61"/>
            <xdr:cNvGrpSpPr/>
          </xdr:nvGrpSpPr>
          <xdr:grpSpPr>
            <a:xfrm>
              <a:off x="6181724" y="11334750"/>
              <a:ext cx="409576" cy="219075"/>
              <a:chOff x="6181724" y="11153775"/>
              <a:chExt cx="409576" cy="219075"/>
            </a:xfrm>
          </xdr:grpSpPr>
          <xdr:sp macro="" textlink="">
            <xdr:nvSpPr>
              <xdr:cNvPr id="69" name="Rectangle 376"/>
              <xdr:cNvSpPr>
                <a:spLocks noChangeArrowheads="1"/>
              </xdr:cNvSpPr>
            </xdr:nvSpPr>
            <xdr:spPr bwMode="auto">
              <a:xfrm>
                <a:off x="6181724"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70" name="直接连接符 69"/>
              <xdr:cNvCxnSpPr/>
            </xdr:nvCxnSpPr>
            <xdr:spPr>
              <a:xfrm>
                <a:off x="6181725"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nvGrpSpPr>
            <xdr:cNvPr id="63" name="组合 62"/>
            <xdr:cNvGrpSpPr/>
          </xdr:nvGrpSpPr>
          <xdr:grpSpPr>
            <a:xfrm>
              <a:off x="3486150" y="11334750"/>
              <a:ext cx="409575" cy="219075"/>
              <a:chOff x="3486150" y="11153775"/>
              <a:chExt cx="409575" cy="219075"/>
            </a:xfrm>
          </xdr:grpSpPr>
          <xdr:sp macro="" textlink="">
            <xdr:nvSpPr>
              <xdr:cNvPr id="67" name="Rectangle 376"/>
              <xdr:cNvSpPr>
                <a:spLocks noChangeArrowheads="1"/>
              </xdr:cNvSpPr>
            </xdr:nvSpPr>
            <xdr:spPr bwMode="auto">
              <a:xfrm>
                <a:off x="3486150"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68" name="直接连接符 67"/>
              <xdr:cNvCxnSpPr/>
            </xdr:nvCxnSpPr>
            <xdr:spPr>
              <a:xfrm>
                <a:off x="3486150"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nvGrpSpPr>
            <xdr:cNvPr id="64" name="组合 63"/>
            <xdr:cNvGrpSpPr/>
          </xdr:nvGrpSpPr>
          <xdr:grpSpPr>
            <a:xfrm>
              <a:off x="923925" y="11334750"/>
              <a:ext cx="409575" cy="219075"/>
              <a:chOff x="923925" y="11153775"/>
              <a:chExt cx="409575" cy="219075"/>
            </a:xfrm>
          </xdr:grpSpPr>
          <xdr:sp macro="" textlink="">
            <xdr:nvSpPr>
              <xdr:cNvPr id="65" name="Rectangle 376"/>
              <xdr:cNvSpPr>
                <a:spLocks noChangeArrowheads="1"/>
              </xdr:cNvSpPr>
            </xdr:nvSpPr>
            <xdr:spPr bwMode="auto">
              <a:xfrm>
                <a:off x="923925" y="11153775"/>
                <a:ext cx="400051" cy="219075"/>
              </a:xfrm>
              <a:prstGeom prst="rect">
                <a:avLst/>
              </a:prstGeom>
              <a:solidFill>
                <a:srgbClr xmlns:mc="http://schemas.openxmlformats.org/markup-compatibility/2006" xmlns:a14="http://schemas.microsoft.com/office/drawing/2010/main" val="FF9900" mc:Ignorable="a14" a14:legacySpreadsheetColorIndex="52"/>
              </a:solidFill>
              <a:ln w="9525">
                <a:noFill/>
                <a:miter lim="800000"/>
                <a:headEnd/>
                <a:tailEnd/>
              </a:ln>
            </xdr:spPr>
          </xdr:sp>
          <xdr:cxnSp macro="">
            <xdr:nvCxnSpPr>
              <xdr:cNvPr id="66" name="直接连接符 65"/>
              <xdr:cNvCxnSpPr/>
            </xdr:nvCxnSpPr>
            <xdr:spPr>
              <a:xfrm>
                <a:off x="923925" y="11344275"/>
                <a:ext cx="409575" cy="0"/>
              </a:xfrm>
              <a:prstGeom prst="line">
                <a:avLst/>
              </a:prstGeom>
              <a:ln w="57150">
                <a:solidFill>
                  <a:schemeClr val="bg1">
                    <a:lumMod val="75000"/>
                  </a:schemeClr>
                </a:solidFill>
              </a:ln>
            </xdr:spPr>
            <xdr:style>
              <a:lnRef idx="1">
                <a:schemeClr val="accent1"/>
              </a:lnRef>
              <a:fillRef idx="0">
                <a:schemeClr val="accent1"/>
              </a:fillRef>
              <a:effectRef idx="0">
                <a:schemeClr val="accent1"/>
              </a:effectRef>
              <a:fontRef idx="minor">
                <a:schemeClr val="tx1"/>
              </a:fontRef>
            </xdr:style>
          </xdr:cxnSp>
        </xdr:grpSp>
      </xdr:grpSp>
    </xdr:grpSp>
    <xdr:clientData/>
  </xdr:twoCellAnchor>
  <xdr:oneCellAnchor>
    <xdr:from>
      <xdr:col>11</xdr:col>
      <xdr:colOff>352425</xdr:colOff>
      <xdr:row>68</xdr:row>
      <xdr:rowOff>28575</xdr:rowOff>
    </xdr:from>
    <xdr:ext cx="563616" cy="170560"/>
    <xdr:sp macro="" textlink="">
      <xdr:nvSpPr>
        <xdr:cNvPr id="76" name="Text Box 386"/>
        <xdr:cNvSpPr txBox="1">
          <a:spLocks noChangeArrowheads="1"/>
        </xdr:cNvSpPr>
      </xdr:nvSpPr>
      <xdr:spPr bwMode="auto">
        <a:xfrm>
          <a:off x="7562850" y="937260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oneCellAnchor>
    <xdr:from>
      <xdr:col>11</xdr:col>
      <xdr:colOff>371475</xdr:colOff>
      <xdr:row>70</xdr:row>
      <xdr:rowOff>180975</xdr:rowOff>
    </xdr:from>
    <xdr:ext cx="563616" cy="170560"/>
    <xdr:sp macro="" textlink="">
      <xdr:nvSpPr>
        <xdr:cNvPr id="77" name="Text Box 386"/>
        <xdr:cNvSpPr txBox="1">
          <a:spLocks noChangeArrowheads="1"/>
        </xdr:cNvSpPr>
      </xdr:nvSpPr>
      <xdr:spPr bwMode="auto">
        <a:xfrm>
          <a:off x="7581900" y="9906000"/>
          <a:ext cx="563616" cy="170560"/>
        </a:xfrm>
        <a:prstGeom prst="rect">
          <a:avLst/>
        </a:prstGeom>
        <a:noFill/>
        <a:ln>
          <a:noFill/>
        </a:ln>
        <a:extLst>
          <a:ext uri="{909E8E84-426E-40DD-AFC4-6F175D3DCCD1}">
            <a14:hiddenFill xmlns:a14="http://schemas.microsoft.com/office/drawing/2010/main">
              <a:solidFill>
                <a:srgbClr xmlns:mc="http://schemas.openxmlformats.org/markup-compatibility/2006" val="FFFFFF" mc:Ignorable="a14" a14:legacySpreadsheetColorIndex="65"/>
              </a:solidFill>
            </a14:hiddenFill>
          </a:ext>
          <a:ext uri="{91240B29-F687-4F45-9708-019B960494DF}">
            <a14:hiddenLine xmlns:a14="http://schemas.microsoft.com/office/drawing/2010/main" w="9525">
              <a:solidFill>
                <a:srgbClr xmlns:mc="http://schemas.openxmlformats.org/markup-compatibility/2006" val="000000" mc:Ignorable="a14" a14:legacySpreadsheetColorIndex="64"/>
              </a:solidFill>
              <a:miter lim="800000"/>
              <a:headEnd/>
              <a:tailEnd/>
            </a14:hiddenLine>
          </a:ext>
        </a:extLst>
      </xdr:spPr>
      <xdr:txBody>
        <a:bodyPr wrap="none" lIns="18288" tIns="22860" rIns="0" bIns="0" anchor="t" upright="1">
          <a:spAutoFit/>
        </a:bodyPr>
        <a:lstStyle/>
        <a:p>
          <a:pPr algn="l" rtl="0">
            <a:defRPr sz="1000"/>
          </a:pPr>
          <a:r>
            <a:rPr lang="en-US" altLang="zh-CN" sz="1000" b="0" i="0" u="none" strike="noStrike" baseline="0">
              <a:solidFill>
                <a:srgbClr val="000000"/>
              </a:solidFill>
              <a:latin typeface="Arial"/>
              <a:cs typeface="Arial"/>
            </a:rPr>
            <a:t>+/-0.5mm</a:t>
          </a:r>
        </a:p>
      </xdr:txBody>
    </xdr:sp>
    <xdr:clientData/>
  </xdr:one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evc-0046\lyb\&#26032;&#24314;&#25991;&#20214;&#22841;(3)\M62\ENG\0619\Finished\2003\1201\RDP-3-1201L%20ADE-5%20to%20improve%20overcharge%20Summary.xls" TargetMode="External"/></Relationships>
</file>

<file path=xl/externalLinks/_rels/externalLink10.xml.rels><?xml version="1.0" encoding="UTF-8" standalone="yes"?>
<Relationships xmlns="http://schemas.openxmlformats.org/package/2006/relationships"><Relationship Id="rId1" Type="http://schemas.openxmlformats.org/officeDocument/2006/relationships/externalLinkPath" Target="/Users/panz/AppData/Local/Microsoft/Windows/Temporary%20Internet%20Files/Content.Outlook/EZTG21B0/Bm-file/ie/Documents%20and%20Settings/zhouxl/Local%20Settings/Temporary%20Internet%20Files/OLK37/MRB%20Weekly%20Report&#65288;BM&#65289;WK27.xls" TargetMode="External"/></Relationships>
</file>

<file path=xl/externalLinks/_rels/externalLink11.xml.rels><?xml version="1.0" encoding="UTF-8" standalone="yes"?>
<Relationships xmlns="http://schemas.openxmlformats.org/package/2006/relationships"><Relationship Id="rId1" Type="http://schemas.openxmlformats.org/officeDocument/2006/relationships/externalLinkPath" Target="file:///\\evc-0046\@\Serverpc\&#51068;&#51221;\Documents%20and%20Settings\adam_covey\Desktop\0F564%20REV%20X06-00%20T2.xls" TargetMode="External"/></Relationships>
</file>

<file path=xl/externalLinks/_rels/externalLink12.xml.rels><?xml version="1.0" encoding="UTF-8" standalone="yes"?>
<Relationships xmlns="http://schemas.openxmlformats.org/package/2006/relationships"><Relationship Id="rId1" Type="http://schemas.openxmlformats.org/officeDocument/2006/relationships/externalLinkPath" Target="file:///\\evc-0046\Documents%20and%20Settings\Jeff_W_Scott\Local%20Settings\Temporary%20Internet%20Files\OLK1C\PPAP.xls" TargetMode="External"/></Relationships>
</file>

<file path=xl/externalLinks/_rels/externalLink13.xml.rels><?xml version="1.0" encoding="UTF-8" standalone="yes"?>
<Relationships xmlns="http://schemas.openxmlformats.org/package/2006/relationships"><Relationship Id="rId1" Type="http://schemas.openxmlformats.org/officeDocument/2006/relationships/externalLinkPath" Target="file:///\\evc-0046\@\&#51221;&#55148;&#51652;1\Dell%20documents\&#51088;&#47308;\CPC&#51088;&#47308;\programs\125PIECE.XLW" TargetMode="External"/></Relationships>
</file>

<file path=xl/externalLinks/_rels/externalLink14.xml.rels><?xml version="1.0" encoding="UTF-8" standalone="yes"?>
<Relationships xmlns="http://schemas.openxmlformats.org/package/2006/relationships"><Relationship Id="rId1" Type="http://schemas.openxmlformats.org/officeDocument/2006/relationships/externalLinkPath" Target="file:///\\ssl-file\IE\Documents%20and%20Settings\YuZQ\Local%20Settings\Temporary%20Internet%20Files\OLK1F\AF130.xls" TargetMode="External"/></Relationships>
</file>

<file path=xl/externalLinks/_rels/externalLink15.xml.rels><?xml version="1.0" encoding="UTF-8" standalone="yes"?>
<Relationships xmlns="http://schemas.openxmlformats.org/package/2006/relationships"><Relationship Id="rId1" Type="http://schemas.openxmlformats.org/officeDocument/2006/relationships/externalLinkPath" Target="file:///\\evc-0046\My%20Documents\&#50629;&#47924;&#51088;&#47308;\DELL%20NOTE-PC\VENICE\Documents%20and%20Settings\adam_covey\Desktop\0F564%20REV%20X06-00%20T2.xls" TargetMode="External"/></Relationships>
</file>

<file path=xl/externalLinks/_rels/externalLink16.xml.rels><?xml version="1.0" encoding="UTF-8" standalone="yes"?>
<Relationships xmlns="http://schemas.openxmlformats.org/package/2006/relationships"><Relationship Id="rId1" Type="http://schemas.openxmlformats.org/officeDocument/2006/relationships/externalLinkPath" Target="file:///L:\WINDOWS\TEMP\varianc1.xls" TargetMode="External"/></Relationships>
</file>

<file path=xl/externalLinks/_rels/externalLink17.xml.rels><?xml version="1.0" encoding="UTF-8" standalone="yes"?>
<Relationships xmlns="http://schemas.openxmlformats.org/package/2006/relationships"><Relationship Id="rId1" Type="http://schemas.openxmlformats.org/officeDocument/2006/relationships/externalLinkPath" Target="file:///\\evc-0046\Documents%20and%20Settings\adam_covey\Desktop\0F564%20REV%20X06-00%20T2.xls" TargetMode="External"/></Relationships>
</file>

<file path=xl/externalLinks/_rels/externalLink18.xml.rels><?xml version="1.0" encoding="UTF-8" standalone="yes"?>
<Relationships xmlns="http://schemas.openxmlformats.org/package/2006/relationships"><Relationship Id="rId1" Type="http://schemas.openxmlformats.org/officeDocument/2006/relationships/externalLinkPath" Target="file:///P:\MQADATA\TEST\TIMEOATY.XLS" TargetMode="External"/></Relationships>
</file>

<file path=xl/externalLinks/_rels/externalLink19.xml.rels><?xml version="1.0" encoding="UTF-8" standalone="yes"?>
<Relationships xmlns="http://schemas.openxmlformats.org/package/2006/relationships"><Relationship Id="rId1" Type="http://schemas.openxmlformats.org/officeDocument/2006/relationships/externalLinkPath" Target="file:///\\Ssl-file\ie\Documents%20and%20Settings\ZhouXL\Local%20Settings\Temporary%20Internet%20Files\OLK1FEA\Documents%20and%20Settings\hakiba\Local%20Settings\Temporary%20Internet%20Files\OLK7\July\Data%20from%20KW\From%20Sato%20san\AF710EY.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CHENQ-23\KCHAN\Forms\WINDOWS\TEMP\DOCBKUP\DOC\ENGDOC\QCFC\TMK\Tmk28002.xls" TargetMode="External"/></Relationships>
</file>

<file path=xl/externalLinks/_rels/externalLink20.xml.rels><?xml version="1.0" encoding="UTF-8" standalone="yes"?>
<Relationships xmlns="http://schemas.openxmlformats.org/package/2006/relationships"><Relationship Id="rId1" Type="http://schemas.openxmlformats.org/officeDocument/2006/relationships/externalLinkPath" Target="file:///\\evc-0046\@\17.91.74.139\Dell%20documents\&#51088;&#47308;\CPC&#51088;&#47308;\programs\125PIECE.XLW" TargetMode="External"/></Relationships>
</file>

<file path=xl/externalLinks/_rels/externalLink21.xml.rels><?xml version="1.0" encoding="UTF-8" standalone="yes"?>
<Relationships xmlns="http://schemas.openxmlformats.org/package/2006/relationships"><Relationship Id="rId1" Type="http://schemas.openxmlformats.org/officeDocument/2006/relationships/externalLinkPath" Target="file:///\\evc-0046\T\Documents%20and%20Settings\adam_covey\Desktop\0F564%20REV%20X06-00%20T2.xls" TargetMode="External"/></Relationships>
</file>

<file path=xl/externalLinks/_rels/externalLink22.xml.rels><?xml version="1.0" encoding="UTF-8" standalone="yes"?>
<Relationships xmlns="http://schemas.openxmlformats.org/package/2006/relationships"><Relationship Id="rId1" Type="http://schemas.openxmlformats.org/officeDocument/2006/relationships/externalLinkPath" Target="file:///\\evc-0046\WINDOWS\TEMP\TD_0005.DIR\Venice9_Color_Gloss_CPK-SDI.xls" TargetMode="External"/></Relationships>
</file>

<file path=xl/externalLinks/_rels/externalLink23.xml.rels><?xml version="1.0" encoding="UTF-8" standalone="yes"?>
<Relationships xmlns="http://schemas.openxmlformats.org/package/2006/relationships"><Relationship Id="rId1" Type="http://schemas.microsoft.com/office/2006/relationships/xlExternalLinkPath/xlPathMissing" Target="http://invalid.uri" TargetMode="External"/></Relationships>
</file>

<file path=xl/externalLinks/_rels/externalLink24.xml.rels><?xml version="1.0" encoding="UTF-8" standalone="yes"?>
<Relationships xmlns="http://schemas.openxmlformats.org/package/2006/relationships"><Relationship Id="rId1" Type="http://schemas.openxmlformats.org/officeDocument/2006/relationships/externalLinkPath" Target="file:///A:\C2000\Macro\Macro%20for%20ENG%20Data%20Process%202000%20(V1.0).xls" TargetMode="External"/></Relationships>
</file>

<file path=xl/externalLinks/_rels/externalLink25.xml.rels><?xml version="1.0" encoding="UTF-8" standalone="yes"?>
<Relationships xmlns="http://schemas.openxmlformats.org/package/2006/relationships"><Relationship Id="rId1" Type="http://schemas.openxmlformats.org/officeDocument/2006/relationships/externalLinkPath" Target="file:///\\bm-file\PROJ-3\Documents%20and%20Settings\ZhangLei\Local%20Settings\Temporary%20Internet%20Files\OLKDA\59E7Q0\Distribution7.xls" TargetMode="External"/></Relationships>
</file>

<file path=xl/externalLinks/_rels/externalLink26.xml.rels><?xml version="1.0" encoding="UTF-8" standalone="yes"?>
<Relationships xmlns="http://schemas.openxmlformats.org/package/2006/relationships"><Relationship Id="rId1" Type="http://schemas.openxmlformats.org/officeDocument/2006/relationships/externalLinkPath" Target="file:///\\evc-0046\@\17.91.43.209\3&#52264;&#50896;&#52769;&#51221;data\Documents%20and%20Settings\adam_covey\Desktop\0F564%20REV%20X06-00%20T2.xls" TargetMode="External"/></Relationships>
</file>

<file path=xl/externalLinks/_rels/externalLink27.xml.rels><?xml version="1.0" encoding="UTF-8" standalone="yes"?>
<Relationships xmlns="http://schemas.openxmlformats.org/package/2006/relationships"><Relationship Id="rId1" Type="http://schemas.openxmlformats.org/officeDocument/2006/relationships/externalLinkPath" Target="file:///\\ssl-file\npd\package\TTI-LTO%20cell%20design.xls" TargetMode="External"/></Relationships>
</file>

<file path=xl/externalLinks/_rels/externalLink28.xml.rels><?xml version="1.0" encoding="UTF-8" standalone="yes"?>
<Relationships xmlns="http://schemas.openxmlformats.org/package/2006/relationships"><Relationship Id="rId1" Type="http://schemas.openxmlformats.org/officeDocument/2006/relationships/externalLinkPath" Target="file:///L:\Data%20From%20Kenwood\FY73actual%20affiliates\KETM\KETM.xls" TargetMode="External"/></Relationships>
</file>

<file path=xl/externalLinks/_rels/externalLink29.xml.rels><?xml version="1.0" encoding="UTF-8" standalone="yes"?>
<Relationships xmlns="http://schemas.openxmlformats.org/package/2006/relationships"><Relationship Id="rId1" Type="http://schemas.openxmlformats.org/officeDocument/2006/relationships/externalLinkPath" Target="/colleague/EV%20and%20HEV/xu%20jm/package/RDP-7-01002L/EV%20Project%20plan-zhang%20L.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evc-0046\@\&#51060;&#47928;&#50724;\&#44277;&#50976;\sqrc\&#50629;&#47924;&#51088;&#47308;\DELL\VENICE\SQRC\Documents%20and%20Settings\adam_covey\Desktop\0F564%20REV%20X06-00%20T2.xls" TargetMode="External"/></Relationships>
</file>

<file path=xl/externalLinks/_rels/externalLink30.xml.rels><?xml version="1.0" encoding="UTF-8" standalone="yes"?>
<Relationships xmlns="http://schemas.openxmlformats.org/package/2006/relationships"><Relationship Id="rId1" Type="http://schemas.openxmlformats.org/officeDocument/2006/relationships/externalLinkPath" Target="file:///\\evc-0046\colleague\EV%20and%20HEV\xu%20jm\package\RDP-7-01002L\EV%20Project%20plan-zhang%20L.xls" TargetMode="External"/></Relationships>
</file>

<file path=xl/externalLinks/_rels/externalLink31.xml.rels><?xml version="1.0" encoding="UTF-8" standalone="yes"?>
<Relationships xmlns="http://schemas.openxmlformats.org/package/2006/relationships"><Relationship Id="rId1" Type="http://schemas.openxmlformats.org/officeDocument/2006/relationships/externalLinkPath" Target="file:///\\Jptokymeyfp81\cf\Documents%20and%20Settings\hidekazu.umemura\My%20Documents\Z_Work\Work(GFS)\Projects\Cerberus\Bid\JLC%20Fast%20for%20Mitsui%20Life.xls" TargetMode="External"/></Relationships>
</file>

<file path=xl/externalLinks/_rels/externalLink32.xml.rels><?xml version="1.0" encoding="UTF-8" standalone="yes"?>
<Relationships xmlns="http://schemas.openxmlformats.org/package/2006/relationships"><Relationship Id="rId1" Type="http://schemas.openxmlformats.org/officeDocument/2006/relationships/externalLinkPath" Target="file:///L:\Data%20From%20Kenwood\FY73actual%20affiliates\KEB.xls" TargetMode="External"/></Relationships>
</file>

<file path=xl/externalLinks/_rels/externalLink33.xml.rels><?xml version="1.0" encoding="UTF-8" standalone="yes"?>
<Relationships xmlns="http://schemas.openxmlformats.org/package/2006/relationships"><Relationship Id="rId1" Type="http://schemas.openxmlformats.org/officeDocument/2006/relationships/externalLinkPath" Target="file:///L:\Analysis%20Report\Okuno\&#32076;&#36027;&#38598;&#35336;DB\73\&#20107;&#26989;&#37096;&#22522;&#26412;.xls" TargetMode="External"/></Relationships>
</file>

<file path=xl/externalLinks/_rels/externalLink34.xml.rels><?xml version="1.0" encoding="UTF-8" standalone="yes"?>
<Relationships xmlns="http://schemas.openxmlformats.org/package/2006/relationships"><Relationship Id="rId1" Type="http://schemas.openxmlformats.org/officeDocument/2006/relationships/externalLinkPath" Target="file:///\\Ssl-file\ie\Documents%20and%20Settings\ZhouXL\Local%20Settings\Temporary%20Internet%20Files\OLK1FEA\Documents%20and%20Settings\hakiba\Local%20Settings\Temporary%20Internet%20Files\OLK7\WINDOWS\&#65411;&#65438;&#65405;&#65400;&#65412;&#65391;&#65420;&#65439;\&#12510;&#12473;&#12479;&#12540;20020113\&#65303;&#65300;&#26399;&#20154;&#21729;&#35336;&#30011;.xls" TargetMode="External"/></Relationships>
</file>

<file path=xl/externalLinks/_rels/externalLink35.xml.rels><?xml version="1.0" encoding="UTF-8" standalone="yes"?>
<Relationships xmlns="http://schemas.openxmlformats.org/package/2006/relationships"><Relationship Id="rId1" Type="http://schemas.openxmlformats.org/officeDocument/2006/relationships/externalLinkPath" Target="file:///U:\windows\TEMP\&#22770;&#21364;&#20808;.xls" TargetMode="External"/></Relationships>
</file>

<file path=xl/externalLinks/_rels/externalLink36.xml.rels><?xml version="1.0" encoding="UTF-8" standalone="yes"?>
<Relationships xmlns="http://schemas.openxmlformats.org/package/2006/relationships"><Relationship Id="rId1" Type="http://schemas.openxmlformats.org/officeDocument/2006/relationships/externalLinkPath" Target="file:///\\Ssl-file\ie\Documents%20and%20Settings\ZhouXL\Local%20Settings\Temporary%20Internet%20Files\OLK1FEA\Documents%20and%20Settings\hakiba\Local%20Settings\Temporary%20Internet%20Files\OLK7\&#12487;&#12470;&#12452;&#12531;&#12458;&#12540;&#12488;&#12513;&#12540;&#12471;&#12519;&#12531;\Report\Final\&#12849;&#26413;&#24140;_&#20462;&#27491;BS.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Bm-file1\IE\IE%20Data%20base\ETR\06&#24180;ETR\ETR%20for%20SSL\5&#26376;&#20221;ETR\1&#26376;&#20221;ETR\Equipment%20Investment%20BG%20plan%20for%20SSL.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X:\ME\ME%20Office\Dept%20project\MFG-PEprojectarrangementrev03-0606.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evc-0046\&#51088;&#47308;\CPC&#51088;&#47308;\programs\125PIECE.XLW"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Ssl-file\HR\Ding%20Zhang\Persons%20list\O-Chart\DOCUME~1\cxhuang\LOCALS~1\Temp\temp%20-%20a%20xia.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ssl-file\npd\Documents%20and%20Settings\meiming.ATL-BM\Local%20Settings\Temporary%20Internet%20Files\OLK2F\M6S%20Design%20RF(&#20559;&#33455;&#35774;&#35745;)BOM.xls" TargetMode="External"/></Relationships>
</file>

<file path=xl/externalLinks/_rels/externalLink9.xml.rels><?xml version="1.0" encoding="UTF-8" standalone="yes"?>
<Relationships xmlns="http://schemas.openxmlformats.org/package/2006/relationships"><Relationship Id="rId1" Type="http://schemas.openxmlformats.org/officeDocument/2006/relationships/externalLinkPath" Target="file:///\\bm-file\PROJ-2\Documents%20and%20Settings\chenmz\Local%20Settings\Temporary%20Internet%20Files\OLK6F\BM(Nov).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mary"/>
      <sheetName val="package"/>
      <sheetName val="Database"/>
      <sheetName val="电解液灌注量"/>
      <sheetName val="Fading"/>
      <sheetName val="Pleteau"/>
      <sheetName val="E4"/>
      <sheetName val="E4 ADE-5"/>
      <sheetName val="0612B0609011-1"/>
      <sheetName val="6.阳极涂布产能"/>
      <sheetName val="DR-061361201014"/>
      <sheetName val="DR-061361201031"/>
      <sheetName val="DR-061361201059"/>
      <sheetName val="DR-061361202023"/>
      <sheetName val="DR-061361202036"/>
      <sheetName val="DR-061361202054"/>
      <sheetName val="DR-061361203010"/>
      <sheetName val="DR-061361203018"/>
      <sheetName val="DR-061361203042"/>
      <sheetName val="DR-061361204004"/>
      <sheetName val="DR-061361204009"/>
      <sheetName val="DR-061361204055"/>
      <sheetName val="HL-061362201030"/>
      <sheetName val="HL-061362201031"/>
      <sheetName val="HL-061362201033"/>
      <sheetName val="HL-061362202021"/>
      <sheetName val="HL-061362202030"/>
      <sheetName val="HL-061362202032"/>
      <sheetName val="HL-061362203001"/>
      <sheetName val="HL-061362203006"/>
      <sheetName val="HL-061362203015"/>
      <sheetName val="HL-061362204016"/>
      <sheetName val="HL-061362204018"/>
      <sheetName val="HL-061362204027"/>
      <sheetName val="DCR-Summary"/>
      <sheetName val="11N247400018"/>
      <sheetName val="11N245500316"/>
      <sheetName val="11N245500334"/>
      <sheetName val="11N245600085"/>
      <sheetName val="11N246200145"/>
      <sheetName val="11N246200205"/>
      <sheetName val="11N242600073"/>
      <sheetName val="11N243100006"/>
      <sheetName val="11N244200143"/>
      <sheetName val="11N241400228"/>
      <sheetName val="11N224200012"/>
      <sheetName val="11N231200041"/>
      <sheetName val="11N232500296"/>
      <sheetName val="Electrode"/>
      <sheetName val="data"/>
      <sheetName val="Rate"/>
      <sheetName val="14447NA2"/>
      <sheetName val="14447-NA"/>
      <sheetName val="14447-N1"/>
      <sheetName val="Category"/>
      <sheetName val="CD_Data"/>
      <sheetName val="815094winding structrue"/>
      <sheetName val="Fading_Data"/>
      <sheetName val="Capacity Retention_Data"/>
      <sheetName val="Sheet1"/>
      <sheetName val="E4_ADE-5"/>
      <sheetName val="6_阳极涂布产能"/>
      <sheetName val="0206NA01"/>
      <sheetName val="0206NA02"/>
      <sheetName val="0206NA03"/>
      <sheetName val="0206NA04"/>
      <sheetName val="0206NA06"/>
      <sheetName val="0206NA07"/>
      <sheetName val="0206NA08"/>
      <sheetName val="0206NA09"/>
      <sheetName val="0206NA10"/>
      <sheetName val="0206NA11"/>
      <sheetName val="0206NA12"/>
      <sheetName val="0206NA13"/>
      <sheetName val="0206NA14"/>
      <sheetName val="0206NA15"/>
      <sheetName val="0206NA16"/>
      <sheetName val="0206NA17"/>
      <sheetName val="0206NA05"/>
      <sheetName val="SLS-F-D1-1.xls2"/>
      <sheetName val="SLS-F-D1-2.xls3"/>
      <sheetName val="SLS-F-D1-3.xls4"/>
      <sheetName val="SLS-F-D1-5.xls6"/>
      <sheetName val="RDP-3-1201L ADE-5 to improve ov"/>
      <sheetName val="HPPC "/>
      <sheetName val="Fading_Data (3)"/>
      <sheetName val="Fading_Data (2)"/>
      <sheetName val="Sheet3"/>
      <sheetName val="常用PN"/>
    </sheetNames>
    <sheetDataSet>
      <sheetData sheetId="0" refreshError="1"/>
      <sheetData sheetId="1" refreshError="1"/>
      <sheetData sheetId="2" refreshError="1">
        <row r="3">
          <cell r="A3" t="str">
            <v>Lot1</v>
          </cell>
        </row>
        <row r="58">
          <cell r="A58" t="str">
            <v>GroupA</v>
          </cell>
        </row>
      </sheetData>
      <sheetData sheetId="3" refreshError="1"/>
      <sheetData sheetId="4" refreshError="1"/>
      <sheetData sheetId="5" refreshError="1"/>
      <sheetData sheetId="6"/>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Set>
  </externalBook>
</externalLink>
</file>

<file path=xl/externalLinks/externalLink1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ACE(P1)"/>
      <sheetName val="0L2"/>
      <sheetName val="Coating CEC"/>
      <sheetName val="Seperater-P1"/>
      <sheetName val="SUM"/>
      <sheetName val="Cell"/>
      <sheetName val="Sorting(成品仓）"/>
      <sheetName val="Sorting（Onhold仓）"/>
      <sheetName val="Sorting 待处理仓"/>
      <sheetName val="ACE(M6)"/>
      <sheetName val="CCE(P1)"/>
      <sheetName val="CCE(M6)"/>
      <sheetName val="Seperater-M6"/>
      <sheetName val="CL1"/>
      <sheetName val="AL1"/>
      <sheetName val="DefectCode"/>
    </sheetNames>
    <sheetDataSet>
      <sheetData sheetId="0" refreshError="1">
        <row r="7">
          <cell r="H7">
            <v>178</v>
          </cell>
          <cell r="I7">
            <v>10</v>
          </cell>
          <cell r="J7">
            <v>516</v>
          </cell>
          <cell r="K7">
            <v>1793</v>
          </cell>
          <cell r="L7">
            <v>197</v>
          </cell>
          <cell r="M7">
            <v>33</v>
          </cell>
        </row>
      </sheetData>
      <sheetData sheetId="1" refreshError="1">
        <row r="7">
          <cell r="H7">
            <v>520</v>
          </cell>
          <cell r="I7">
            <v>309</v>
          </cell>
          <cell r="J7">
            <v>290</v>
          </cell>
          <cell r="K7">
            <v>22</v>
          </cell>
          <cell r="L7">
            <v>4</v>
          </cell>
          <cell r="M7">
            <v>3680</v>
          </cell>
          <cell r="N7">
            <v>154</v>
          </cell>
          <cell r="O7">
            <v>196</v>
          </cell>
          <cell r="P7">
            <v>215</v>
          </cell>
          <cell r="Q7">
            <v>6430</v>
          </cell>
          <cell r="R7">
            <v>93</v>
          </cell>
          <cell r="S7">
            <v>71</v>
          </cell>
          <cell r="T7">
            <v>2755</v>
          </cell>
          <cell r="U7">
            <v>383</v>
          </cell>
          <cell r="V7">
            <v>795</v>
          </cell>
          <cell r="W7">
            <v>2</v>
          </cell>
          <cell r="X7">
            <v>11</v>
          </cell>
          <cell r="Y7">
            <v>237</v>
          </cell>
          <cell r="Z7">
            <v>102</v>
          </cell>
          <cell r="AA7">
            <v>60</v>
          </cell>
          <cell r="AB7">
            <v>300</v>
          </cell>
          <cell r="AC7">
            <v>882</v>
          </cell>
          <cell r="AD7">
            <v>219</v>
          </cell>
          <cell r="AE7">
            <v>1825</v>
          </cell>
          <cell r="AF7">
            <v>555</v>
          </cell>
          <cell r="AG7">
            <v>1536</v>
          </cell>
          <cell r="AH7">
            <v>441</v>
          </cell>
          <cell r="AI7">
            <v>1140</v>
          </cell>
          <cell r="AJ7">
            <v>10</v>
          </cell>
          <cell r="AK7">
            <v>1572</v>
          </cell>
          <cell r="AL7">
            <v>36604</v>
          </cell>
          <cell r="AM7">
            <v>11671</v>
          </cell>
          <cell r="AN7">
            <v>5860</v>
          </cell>
          <cell r="AO7">
            <v>15</v>
          </cell>
          <cell r="AP7">
            <v>108</v>
          </cell>
          <cell r="AQ7">
            <v>1818</v>
          </cell>
          <cell r="AR7">
            <v>3001</v>
          </cell>
          <cell r="AS7">
            <v>177</v>
          </cell>
          <cell r="AT7">
            <v>120</v>
          </cell>
          <cell r="AU7">
            <v>117</v>
          </cell>
          <cell r="AV7">
            <v>1305</v>
          </cell>
          <cell r="AW7">
            <v>1102</v>
          </cell>
          <cell r="AX7">
            <v>1511</v>
          </cell>
          <cell r="AY7">
            <v>126</v>
          </cell>
          <cell r="AZ7">
            <v>1514</v>
          </cell>
          <cell r="BA7">
            <v>774</v>
          </cell>
          <cell r="BB7">
            <v>1103</v>
          </cell>
          <cell r="BC7">
            <v>1979</v>
          </cell>
          <cell r="BD7">
            <v>1808</v>
          </cell>
        </row>
      </sheetData>
      <sheetData sheetId="2" refreshError="1">
        <row r="3">
          <cell r="H3" t="str">
            <v>K002</v>
          </cell>
          <cell r="I3" t="str">
            <v>K003</v>
          </cell>
          <cell r="J3" t="str">
            <v>RC006</v>
          </cell>
          <cell r="K3" t="str">
            <v>RC009</v>
          </cell>
          <cell r="L3" t="str">
            <v>RC020</v>
          </cell>
          <cell r="M3" t="str">
            <v>RC021</v>
          </cell>
        </row>
        <row r="7">
          <cell r="H7">
            <v>1796</v>
          </cell>
          <cell r="I7">
            <v>1895</v>
          </cell>
          <cell r="J7">
            <v>310</v>
          </cell>
          <cell r="K7">
            <v>569</v>
          </cell>
          <cell r="L7">
            <v>596</v>
          </cell>
          <cell r="M7">
            <v>678</v>
          </cell>
        </row>
      </sheetData>
      <sheetData sheetId="3" refreshError="1">
        <row r="3">
          <cell r="H3" t="str">
            <v>A009</v>
          </cell>
          <cell r="I3" t="str">
            <v>S002</v>
          </cell>
          <cell r="J3" t="str">
            <v>S008</v>
          </cell>
          <cell r="K3" t="str">
            <v>S009</v>
          </cell>
          <cell r="L3" t="str">
            <v>S017</v>
          </cell>
        </row>
        <row r="7">
          <cell r="H7">
            <v>3.5699999999999996E-2</v>
          </cell>
          <cell r="I7">
            <v>0.95509679999999997</v>
          </cell>
          <cell r="J7">
            <v>2.0238789000000001</v>
          </cell>
          <cell r="K7">
            <v>11.260676500000001</v>
          </cell>
          <cell r="L7">
            <v>39.259391999999998</v>
          </cell>
        </row>
      </sheetData>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Set>
  </externalBook>
</externalLink>
</file>

<file path=xl/externalLinks/externalLink1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arrant"/>
      <sheetName val="RSV"/>
      <sheetName val="ISRDATA"/>
      <sheetName val="Dell FAI"/>
      <sheetName val="CpK "/>
      <sheetName val="Dell-Cpk"/>
      <sheetName val="Dell-Cpk (2)"/>
      <sheetName val="Dell-Cpk (3)"/>
      <sheetName val="Dell-Cpk (4)"/>
      <sheetName val="Gage R&amp;R"/>
      <sheetName val="Drawing"/>
      <sheetName val="Matl Cert"/>
    </sheetNames>
    <sheetDataSet>
      <sheetData sheetId="0"/>
      <sheetData sheetId="1"/>
      <sheetData sheetId="2">
        <row r="5">
          <cell r="K5" t="str">
            <v>X06-00</v>
          </cell>
        </row>
      </sheetData>
      <sheetData sheetId="3"/>
      <sheetData sheetId="4"/>
      <sheetData sheetId="5"/>
      <sheetData sheetId="6"/>
      <sheetData sheetId="7"/>
      <sheetData sheetId="8"/>
      <sheetData sheetId="9"/>
      <sheetData sheetId="10"/>
      <sheetData sheetId="11"/>
    </sheetDataSet>
  </externalBook>
</externalLink>
</file>

<file path=xl/externalLinks/externalLink1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ortaPPAP"/>
      <sheetName val="IndicePPAP"/>
      <sheetName val="Warrant"/>
      <sheetName val="RSV"/>
      <sheetName val="ISRDATA"/>
      <sheetName val="CpK "/>
      <sheetName val="AAR"/>
      <sheetName val="Gage R&amp;R"/>
      <sheetName val="Drawing1 A01-00"/>
      <sheetName val="Drawing2 A01-00"/>
      <sheetName val="Flow Chart"/>
      <sheetName val="PFMEA"/>
      <sheetName val="Control  Plan"/>
      <sheetName val="PIR"/>
      <sheetName val="RIR"/>
      <sheetName val="RIRTrasera"/>
      <sheetName val="Matl Cert"/>
      <sheetName val="Var. Ctrl Cht Backpage"/>
      <sheetName val="Process-Machine set-up sheet"/>
      <sheetName val="0612B0609029-1"/>
      <sheetName val="Fading_Data"/>
      <sheetName val="Cycle"/>
      <sheetName val="Sheet371"/>
      <sheetName val="PPAP"/>
      <sheetName val="LOT구성(Winding)"/>
      <sheetName val="Data lists"/>
      <sheetName val="VESA Tests"/>
      <sheetName val="Gamma Data"/>
      <sheetName val="PPAP.xls"/>
      <sheetName val="1F)LOT구성(构成))"/>
      <sheetName val="125PIECE"/>
      <sheetName val="TMK280-02"/>
      <sheetName val="Sheet3"/>
      <sheetName val="8605ML91"/>
      <sheetName val="MPS Q3 FY04"/>
      <sheetName val="MPS Q4 FY04"/>
      <sheetName val="REPAIR DATA - CONTAINER #5"/>
      <sheetName val="model"/>
      <sheetName val="02"/>
      <sheetName val="09"/>
      <sheetName val="03"/>
      <sheetName val="Sheet2"/>
      <sheetName val="combine"/>
      <sheetName val="O1OB"/>
      <sheetName val="Cork"/>
      <sheetName val="04"/>
      <sheetName val="10"/>
      <sheetName val="11"/>
      <sheetName val="12"/>
      <sheetName val="13"/>
      <sheetName val="19"/>
      <sheetName val="21"/>
      <sheetName val="22"/>
      <sheetName val="25"/>
      <sheetName val="R&amp;D"/>
      <sheetName val="FA-LISTING"/>
      <sheetName val="\\ssl-file\PE-1\Documents and S"/>
      <sheetName val="CpK_"/>
      <sheetName val="Gage_R&amp;R"/>
      <sheetName val="Drawing1_A01-00"/>
      <sheetName val="Drawing2_A01-00"/>
      <sheetName val="Flow_Chart"/>
      <sheetName val="Control__Plan"/>
      <sheetName val="Matl_Cert"/>
      <sheetName val="Var__Ctrl_Cht_Backpage"/>
      <sheetName val="Process-Machine_set-up_sheet"/>
      <sheetName val="Data_lists"/>
      <sheetName val="VESA_Tests"/>
      <sheetName val="Gamma_Data"/>
      <sheetName val="PPAP_xls"/>
      <sheetName val="TTL Yield"/>
      <sheetName val="Checklist"/>
      <sheetName val="FAIDATA"/>
      <sheetName val="Cpk"/>
      <sheetName val="Gage R&amp;R "/>
      <sheetName val="Drawing 1"/>
      <sheetName val="PFMEA Cover"/>
      <sheetName val="PFMEA "/>
      <sheetName val="Control Plan"/>
      <sheetName val="Var. Ctrl Cht Frontpage"/>
      <sheetName val="Inprocess Control Plan Template"/>
      <sheetName val="Process Setup Sheet"/>
      <sheetName val="Quality Concerns Example"/>
      <sheetName val="Packaging Example "/>
      <sheetName val="IQC"/>
      <sheetName val="Out-going"/>
      <sheetName val="PMP"/>
      <sheetName val="SOP"/>
      <sheetName val="SIP"/>
      <sheetName val="Quality goals"/>
      <sheetName val="COC"/>
      <sheetName val="Reliablity test"/>
      <sheetName val="Shipping label"/>
      <sheetName val="QSA"/>
      <sheetName val="QPA"/>
      <sheetName val="Corrective actions"/>
      <sheetName val="Process Parameters"/>
      <sheetName val="Yield Rate"/>
      <sheetName val="Surface Criteria"/>
      <sheetName val="BOM"/>
      <sheetName val="Function Test"/>
      <sheetName val=" FAI"/>
      <sheetName val="Assembly_BOM"/>
      <sheetName val="Capability"/>
      <sheetName val="GR&amp;R for CTF-#"/>
      <sheetName val="Drawing"/>
      <sheetName val="Material Certification"/>
      <sheetName val="Additional Documentation"/>
      <sheetName val="XL4Test5"/>
      <sheetName val="周生產"/>
      <sheetName val="DEF"/>
      <sheetName val="CpK_1"/>
      <sheetName val="Gage_R&amp;R1"/>
      <sheetName val="Drawing1_A01-001"/>
      <sheetName val="Drawing2_A01-001"/>
      <sheetName val="Flow_Chart1"/>
      <sheetName val="Control__Plan1"/>
      <sheetName val="Matl_Cert1"/>
      <sheetName val="Var__Ctrl_Cht_Backpage1"/>
      <sheetName val="Process-Machine_set-up_sheet1"/>
    </sheetNames>
    <sheetDataSet>
      <sheetData sheetId="0" refreshError="1"/>
      <sheetData sheetId="1" refreshError="1"/>
      <sheetData sheetId="2"/>
      <sheetData sheetId="3" refreshError="1"/>
      <sheetData sheetId="4">
        <row r="1">
          <cell r="M1" t="str">
            <v>2001-120</v>
          </cell>
        </row>
        <row r="7">
          <cell r="P7" t="str">
            <v>G.A.</v>
          </cell>
          <cell r="U7">
            <v>37062</v>
          </cell>
        </row>
      </sheetData>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sheetData sheetId="72"/>
      <sheetData sheetId="73"/>
      <sheetData sheetId="74"/>
      <sheetData sheetId="75"/>
      <sheetData sheetId="76"/>
      <sheetData sheetId="77"/>
      <sheetData sheetId="78"/>
      <sheetData sheetId="79"/>
      <sheetData sheetId="80"/>
      <sheetData sheetId="81"/>
      <sheetData sheetId="82"/>
      <sheetData sheetId="83"/>
      <sheetData sheetId="84"/>
      <sheetData sheetId="85"/>
      <sheetData sheetId="86"/>
      <sheetData sheetId="87"/>
      <sheetData sheetId="88"/>
      <sheetData sheetId="89"/>
      <sheetData sheetId="90"/>
      <sheetData sheetId="91"/>
      <sheetData sheetId="92"/>
      <sheetData sheetId="93"/>
      <sheetData sheetId="94"/>
      <sheetData sheetId="95"/>
      <sheetData sheetId="96"/>
      <sheetData sheetId="97"/>
      <sheetData sheetId="98"/>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Set>
  </externalBook>
</externalLink>
</file>

<file path=xl/externalLinks/externalLink1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25PIECE"/>
    </sheetNames>
    <sheetDataSet>
      <sheetData sheetId="0" refreshError="1">
        <row r="10">
          <cell r="O10">
            <v>3</v>
          </cell>
          <cell r="P10">
            <v>1</v>
          </cell>
          <cell r="Q10">
            <v>1</v>
          </cell>
          <cell r="R10">
            <v>1</v>
          </cell>
          <cell r="S10">
            <v>1</v>
          </cell>
          <cell r="T10">
            <v>1</v>
          </cell>
          <cell r="U10">
            <v>1</v>
          </cell>
          <cell r="V10">
            <v>1</v>
          </cell>
          <cell r="W10">
            <v>1</v>
          </cell>
          <cell r="X10">
            <v>1</v>
          </cell>
          <cell r="Y10">
            <v>1</v>
          </cell>
          <cell r="Z10">
            <v>1</v>
          </cell>
          <cell r="AA10">
            <v>1</v>
          </cell>
          <cell r="AB10">
            <v>1</v>
          </cell>
          <cell r="AC10">
            <v>1</v>
          </cell>
          <cell r="AD10">
            <v>1</v>
          </cell>
          <cell r="AE10">
            <v>1</v>
          </cell>
          <cell r="AF10">
            <v>1</v>
          </cell>
          <cell r="AG10">
            <v>1</v>
          </cell>
          <cell r="AH10">
            <v>1</v>
          </cell>
          <cell r="AI10">
            <v>1</v>
          </cell>
          <cell r="AJ10">
            <v>1</v>
          </cell>
          <cell r="AK10">
            <v>1</v>
          </cell>
          <cell r="AL10">
            <v>1</v>
          </cell>
          <cell r="AM10">
            <v>1</v>
          </cell>
        </row>
      </sheetData>
    </sheetDataSet>
  </externalBook>
</externalLink>
</file>

<file path=xl/externalLinks/externalLink1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E"/>
      <sheetName val="74期"/>
    </sheetNames>
    <sheetDataSet>
      <sheetData sheetId="0" refreshError="1">
        <row r="4">
          <cell r="D4">
            <v>130</v>
          </cell>
        </row>
        <row r="5">
          <cell r="D5">
            <v>82</v>
          </cell>
        </row>
        <row r="6">
          <cell r="D6">
            <v>115</v>
          </cell>
        </row>
        <row r="9">
          <cell r="D9">
            <v>185</v>
          </cell>
        </row>
        <row r="14">
          <cell r="D14">
            <v>16.7</v>
          </cell>
        </row>
        <row r="15">
          <cell r="D15">
            <v>71</v>
          </cell>
        </row>
        <row r="16">
          <cell r="D16">
            <v>34.21</v>
          </cell>
        </row>
        <row r="17">
          <cell r="D17">
            <v>2.9</v>
          </cell>
        </row>
      </sheetData>
      <sheetData sheetId="1" refreshError="1"/>
    </sheetDataSet>
  </externalBook>
</externalLink>
</file>

<file path=xl/externalLinks/externalLink1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arrant"/>
      <sheetName val="RSV"/>
      <sheetName val="ISRDATA"/>
      <sheetName val="Dell FAI"/>
      <sheetName val="CpK "/>
      <sheetName val="Dell-Cpk"/>
      <sheetName val="Dell-Cpk (2)"/>
      <sheetName val="Dell-Cpk (3)"/>
      <sheetName val="Dell-Cpk (4)"/>
      <sheetName val="Gage R&amp;R"/>
      <sheetName val="Drawing"/>
      <sheetName val="Matl Cert"/>
    </sheetNames>
    <sheetDataSet>
      <sheetData sheetId="0"/>
      <sheetData sheetId="1"/>
      <sheetData sheetId="2">
        <row r="5">
          <cell r="H5">
            <v>37159</v>
          </cell>
        </row>
      </sheetData>
      <sheetData sheetId="3"/>
      <sheetData sheetId="4"/>
      <sheetData sheetId="5"/>
      <sheetData sheetId="6"/>
      <sheetData sheetId="7"/>
      <sheetData sheetId="8"/>
      <sheetData sheetId="9"/>
      <sheetData sheetId="10"/>
      <sheetData sheetId="11"/>
    </sheetDataSet>
  </externalBook>
</externalLink>
</file>

<file path=xl/externalLinks/externalLink1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 2"/>
      <sheetName val="测试单"/>
      <sheetName val="Summary"/>
      <sheetName val="CD_Data"/>
      <sheetName val="CD_Plot"/>
      <sheetName val="C&amp;D_Plot"/>
      <sheetName val="Fading_Plot"/>
      <sheetName val="Fading_Data"/>
      <sheetName val="C&amp;D_Data"/>
      <sheetName val="CorrB"/>
      <sheetName val="CorrB2"/>
      <sheetName val="CorrB3"/>
      <sheetName val="CorrB4"/>
      <sheetName val="RD"/>
      <sheetName val="CorrB5"/>
      <sheetName val="CorrB6"/>
      <sheetName val="GROUPB-SEQ"/>
      <sheetName val="sequence"/>
      <sheetName val="SORT"/>
      <sheetName val="Help"/>
      <sheetName val="INI"/>
      <sheetName val="DialogC"/>
      <sheetName val="DialogF"/>
      <sheetName val="Plot_format"/>
      <sheetName val="DialogH"/>
      <sheetName val="DialogCS"/>
      <sheetName val="DgSheet"/>
      <sheetName val="Sheet1"/>
      <sheetName val="Spec"/>
      <sheetName val="STD"/>
      <sheetName val="Average_data"/>
      <sheetName val="Inductance"/>
      <sheetName val="MRR_Eq"/>
      <sheetName val="TPTP_Wyko"/>
      <sheetName val="HW_MRR_sort_sld"/>
      <sheetName val="Total"/>
      <sheetName val="Guzik_ATE_1"/>
      <sheetName val="Guzik_ATE_2"/>
      <sheetName val="TDK_Kofu_MRR_sort_sld"/>
      <sheetName val="File_comb_1"/>
      <sheetName val="Close_Marco"/>
      <sheetName val="Dual_Arm_SNR"/>
      <sheetName val="Column_Split"/>
      <sheetName val="File_comb_2"/>
      <sheetName val="Uniformity"/>
      <sheetName val="Plot_graph"/>
      <sheetName val="Histogram"/>
      <sheetName val="Module1"/>
      <sheetName val="Corr1"/>
      <sheetName val="Sheet2"/>
      <sheetName val="Sheet3"/>
      <sheetName val="Sheet 1"/>
      <sheetName val="0612B0609016-1"/>
      <sheetName val="HistD2"/>
      <sheetName val="design"/>
      <sheetName val="checking"/>
      <sheetName val="materiel"/>
      <sheetName val="BOM"/>
      <sheetName val="1"/>
      <sheetName val="2"/>
      <sheetName val="3"/>
      <sheetName val="4"/>
      <sheetName val="5"/>
      <sheetName val="ISRDATA"/>
      <sheetName val="전수항목"/>
      <sheetName val="125PIECE"/>
      <sheetName val="조절Panel"/>
      <sheetName val="varianc1"/>
      <sheetName val="個別貸引"/>
      <sheetName val="Capacity Retention_Data"/>
      <sheetName val="HL-Summary"/>
      <sheetName val="应付"/>
      <sheetName val="Database"/>
      <sheetName val="pe"/>
      <sheetName val="fenxi(内)"/>
      <sheetName val="Cell BOM-设计文件-赢合卷绕机"/>
      <sheetName val="전체손익표"/>
      <sheetName val="design sheet"/>
      <sheetName val="YJME-5EX-GPC14102501"/>
      <sheetName val="YJME-5EX-GPC14102201"/>
      <sheetName val="#REF!"/>
      <sheetName val="Administrative"/>
      <sheetName val="循环"/>
      <sheetName val="DEF"/>
      <sheetName val="Input commodity fallout"/>
      <sheetName val="Reporting"/>
      <sheetName val="Cork"/>
      <sheetName val="sum"/>
      <sheetName val="TMK280-02"/>
      <sheetName val="Para Grille"/>
      <sheetName val="Build Detail-ALL"/>
      <sheetName val="ref data"/>
      <sheetName val="四半期"/>
      <sheetName val="320GB-STCT"/>
      <sheetName val="320GB-USTCT"/>
      <sheetName val="250GB-USTCT"/>
      <sheetName val="250GB-STCT"/>
      <sheetName val="HDD&amp;HGA Demand"/>
      <sheetName val="HDD Research C"/>
      <sheetName val="sheet"/>
      <sheetName val="CW=0.5"/>
      <sheetName val="CW=0.6"/>
      <sheetName val="数据"/>
      <sheetName val="OK2Fill"/>
      <sheetName val="Data"/>
      <sheetName val="#REF"/>
      <sheetName val="RATE"/>
      <sheetName val="Frais"/>
    </sheetNames>
    <sheetDataSet>
      <sheetData sheetId="0"/>
      <sheetData sheetId="1"/>
      <sheetData sheetId="2"/>
      <sheetData sheetId="3"/>
      <sheetData sheetId="4" refreshError="1"/>
      <sheetData sheetId="5" refreshError="1"/>
      <sheetData sheetId="6" refreshError="1"/>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refreshError="1"/>
      <sheetData sheetId="24"/>
      <sheetData sheetId="25"/>
      <sheetData sheetId="26"/>
      <sheetData sheetId="27"/>
      <sheetData sheetId="28"/>
      <sheetData sheetId="29"/>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sheetData sheetId="49"/>
      <sheetData sheetId="50"/>
      <sheetData sheetId="51"/>
      <sheetData sheetId="52" refreshError="1"/>
      <sheetData sheetId="53" refreshError="1"/>
      <sheetData sheetId="54"/>
      <sheetData sheetId="55"/>
      <sheetData sheetId="56"/>
      <sheetData sheetId="57"/>
      <sheetData sheetId="58"/>
      <sheetData sheetId="59"/>
      <sheetData sheetId="60"/>
      <sheetData sheetId="61"/>
      <sheetData sheetId="62"/>
      <sheetData sheetId="63" refreshError="1"/>
      <sheetData sheetId="64" refreshError="1"/>
      <sheetData sheetId="65"/>
      <sheetData sheetId="66"/>
      <sheetData sheetId="67" refreshError="1"/>
      <sheetData sheetId="68" refreshError="1"/>
      <sheetData sheetId="69" refreshError="1"/>
      <sheetData sheetId="70" refreshError="1"/>
      <sheetData sheetId="7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Set>
  </externalBook>
</externalLink>
</file>

<file path=xl/externalLinks/externalLink1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arrant"/>
      <sheetName val="RSV"/>
      <sheetName val="ISRDATA"/>
      <sheetName val="Dell FAI"/>
      <sheetName val="CpK "/>
      <sheetName val="Dell-Cpk"/>
      <sheetName val="Dell-Cpk (2)"/>
      <sheetName val="Dell-Cpk (3)"/>
      <sheetName val="Dell-Cpk (4)"/>
      <sheetName val="Gage R&amp;R"/>
      <sheetName val="Drawing"/>
      <sheetName val="Matl Cert"/>
    </sheetNames>
    <sheetDataSet>
      <sheetData sheetId="0"/>
      <sheetData sheetId="1"/>
      <sheetData sheetId="2">
        <row r="5">
          <cell r="H5">
            <v>37159</v>
          </cell>
        </row>
      </sheetData>
      <sheetData sheetId="3"/>
      <sheetData sheetId="4"/>
      <sheetData sheetId="5"/>
      <sheetData sheetId="6"/>
      <sheetData sheetId="7"/>
      <sheetData sheetId="8"/>
      <sheetData sheetId="9"/>
      <sheetData sheetId="10"/>
      <sheetData sheetId="11"/>
    </sheetDataSet>
  </externalBook>
</externalLink>
</file>

<file path=xl/externalLinks/externalLink1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odel"/>
      <sheetName val="Module2"/>
      <sheetName val="Module1"/>
      <sheetName val="Module3"/>
      <sheetName val="分機種"/>
      <sheetName val="OPERATION MEETING"/>
      <sheetName val="TIMEOATY"/>
      <sheetName val="#REF"/>
      <sheetName val=""/>
      <sheetName val="\MQADATA\TEST\TIMEOATY.XLS"/>
      <sheetName val="061283100030"/>
      <sheetName val="061283100100"/>
      <sheetName val="061283100158"/>
      <sheetName val="061283100042"/>
      <sheetName val="061283100043"/>
      <sheetName val="061283100044"/>
      <sheetName val="061283100104"/>
      <sheetName val="061283100111"/>
      <sheetName val="061283100114"/>
      <sheetName val="061283100072"/>
      <sheetName val="061283100073"/>
      <sheetName val="061283100074"/>
      <sheetName val="0612B0609015-1"/>
      <sheetName val="0612B0609027-1"/>
      <sheetName val="Fading_Data"/>
      <sheetName val="CD_Data"/>
      <sheetName val="C&amp;D_Data"/>
      <sheetName val="TIMEOATY.XLS"/>
      <sheetName val="ISRDATA"/>
      <sheetName val="MPS Q3 FY04"/>
      <sheetName val="MPS Q4 FY04"/>
      <sheetName val="125PIECE"/>
      <sheetName val="_MQADATA_TEST_TIMEOATY.XLS"/>
      <sheetName val="Data"/>
      <sheetName val="Rate"/>
      <sheetName val="조절Panel"/>
      <sheetName val="TMK280-02"/>
      <sheetName val="Meal ticket"/>
      <sheetName val="11168IM1"/>
      <sheetName val="11168SH4"/>
      <sheetName val="TTL Yield"/>
      <sheetName val="\V\MQADATA\TEST\TIMEOATY.XLS"/>
      <sheetName val="Sheet 2"/>
      <sheetName val="\\17.91.99.189\V\MQADATA\TEST\T"/>
      <sheetName val="\\17.91.99.189\P\MQADATA\TEST\T"/>
      <sheetName val="\TIMEOATY.XLS"/>
      <sheetName val="\D\TIMEOATY.XLS"/>
      <sheetName val="총집계내역"/>
      <sheetName val="Database"/>
      <sheetName val="\\sslrd-ser-rfile\rfile\TEST\TI"/>
      <sheetName val="\P\MQADATA\TEST\TIMEOATY.XLS"/>
      <sheetName val="Ripple voltage"/>
      <sheetName val="#REF!"/>
      <sheetName val="10"/>
      <sheetName val="\@\nd-ri-rfile\rfile\MQADATA\TE"/>
      <sheetName val="Sheet371"/>
      <sheetName val="재무기준"/>
      <sheetName val="OK2x"/>
      <sheetName val="Sheet1"/>
      <sheetName val="상용"/>
      <sheetName val="Sheet2"/>
      <sheetName val="DBL LPG시험"/>
      <sheetName val="Sheet3"/>
      <sheetName val="02"/>
      <sheetName val="03"/>
      <sheetName val="04"/>
      <sheetName val="09"/>
      <sheetName val="11"/>
      <sheetName val="12"/>
      <sheetName val="13"/>
      <sheetName val="19"/>
      <sheetName val="21"/>
      <sheetName val="22"/>
      <sheetName val="25"/>
      <sheetName val="8605ML91"/>
      <sheetName val="REPAIR DATA - CONTAINER #5"/>
      <sheetName val="FA-LISTING"/>
      <sheetName val="Data lists"/>
      <sheetName val="\C\V\MQADATA\TEST\TIMEOATY.XLS"/>
      <sheetName val="\C\P\MQADATA\TEST\TIMEOATY.XLS"/>
      <sheetName val="\@\sslrd-ser-rfile\rfile\C\V\MQ"/>
      <sheetName val="\D\D\TIMEOATY.XLS"/>
      <sheetName val="__17.91.99.189_V_MQADATA_TEST_T"/>
      <sheetName val="__17.91.99.189_P_MQADATA_TEST_T"/>
      <sheetName val="\\ssl-rfile\rfile\V\MQADATA\TES"/>
      <sheetName val="\\ssl-rfile\rfile\P\MQADATA\TES"/>
      <sheetName val="\Documents and Settings\VIOLA.Y"/>
      <sheetName val="\C\Documents and Settings\VIOLA"/>
      <sheetName val="\C\C\Documents and Settings\VIO"/>
      <sheetName val="\C\C\C\Documents and Settings\V"/>
      <sheetName val="\C\C\C\C\Documents and Settings"/>
      <sheetName val="\C\C\C\C\C\Documents and Settin"/>
      <sheetName val="\C\C\C\C\C\C\Documents and Sett"/>
      <sheetName val="\sslrd-ser-rfile\rfile\C\V\MQAD"/>
      <sheetName val="液"/>
      <sheetName val="pe"/>
      <sheetName val="__sslrd-ser-rfile_rfile_TEST_TI"/>
      <sheetName val="_TIMEOATY.XLS"/>
      <sheetName val="_D_TIMEOATY.XLS"/>
      <sheetName val="_V_MQADATA_TEST_TIMEOATY.XLS"/>
      <sheetName val="_P_MQADATA_TEST_TIMEOATY.XLS"/>
      <sheetName val="_@_nd-ri-rfile_rfile_MQADATA_TE"/>
      <sheetName val="\sslrd-ser-rfile\rfile\C\@\sslr"/>
      <sheetName val="\\SSLRD-ENG-RFILE\Rfile\P\MQADA"/>
      <sheetName val="\TEST\TIMEOATY.XLS"/>
      <sheetName val="\\ssl-file\V\MQADATA\TEST\TIMEO"/>
      <sheetName val="\\sgsdspc6111\V\MQADATA\TEST\TI"/>
      <sheetName val="\\sgsdspc6111\P\MQADATA\TEST\TI"/>
      <sheetName val="\\192.168.200.1\C\V\MQADATA\TES"/>
      <sheetName val="\\192.168.200.1\V\MQADATA\TEST\"/>
      <sheetName val="\\192.168.200.1\C\P\MQADATA\TES"/>
      <sheetName val="\Users\sanjaysheth\Library\Cont"/>
      <sheetName val="\C\Users\sanjaysheth\Library\Co"/>
      <sheetName val="\C\C\Users\sanjaysheth\Library\"/>
      <sheetName val="\\17.91.41.171\server\V\MQADATA"/>
      <sheetName val="\\17.91.41.171\server\P\MQADATA"/>
      <sheetName val="Input commodity fallout"/>
      <sheetName val="Reporting"/>
      <sheetName val="Physical Description"/>
      <sheetName val="Data List"/>
      <sheetName val="S_H"/>
      <sheetName val="Y_H"/>
      <sheetName val="\Users\LG\AppData\Local\Microso"/>
      <sheetName val="\C\Users\LG\AppData\Local\Micro"/>
      <sheetName val="\C\@\sslrd-ser-rfile\rfile\C\V\"/>
    </sheetNames>
    <definedNames>
      <definedName name="OPERATION" sheetId="0"/>
    </definedNames>
    <sheetDataSet>
      <sheetData sheetId="0"/>
      <sheetData sheetId="1" refreshError="1"/>
      <sheetData sheetId="2" refreshError="1"/>
      <sheetData sheetId="3" refreshError="1"/>
      <sheetData sheetId="4"/>
      <sheetData sheetId="5"/>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Set>
  </externalBook>
</externalLink>
</file>

<file path=xl/externalLinks/externalLink1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ate"/>
      <sheetName val="74C-1improved_Bvs74C-1XR_B"/>
    </sheetNames>
    <sheetDataSet>
      <sheetData sheetId="0" refreshError="1"/>
      <sheetData sheetId="1" refreshError="1"/>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MK280-02"/>
      <sheetName val="10lxj914l"/>
      <sheetName val="0612B0609028-1"/>
      <sheetName val="ISRDATA"/>
      <sheetName val="EIS Data"/>
      <sheetName val="815094winding structrue"/>
      <sheetName val="Cu AlFoil改善措施"/>
      <sheetName val="Data"/>
      <sheetName val="Input"/>
      <sheetName val="SGH-M100"/>
      <sheetName val="Tmk28002"/>
      <sheetName val="125PIECE"/>
      <sheetName val="DR-12B342600007"/>
      <sheetName val="DR-12B342600020"/>
      <sheetName val="DR-12B342600236"/>
      <sheetName val="DR-12B342500255"/>
      <sheetName val="3-8"/>
      <sheetName val="HPPC "/>
      <sheetName val="전수항목"/>
      <sheetName val="조절Panel"/>
      <sheetName val="fenxi(内)"/>
      <sheetName val="Sheet1"/>
      <sheetName val="部门折旧"/>
      <sheetName val="个人欠款账龄分析表"/>
      <sheetName val="Sheet4"/>
      <sheetName val="Sheet3"/>
      <sheetName val="model"/>
      <sheetName val="02"/>
      <sheetName val="03"/>
      <sheetName val="04"/>
      <sheetName val="09"/>
      <sheetName val="10"/>
      <sheetName val="11"/>
      <sheetName val="12"/>
      <sheetName val="13"/>
      <sheetName val="19"/>
      <sheetName val="21"/>
      <sheetName val="22"/>
      <sheetName val="25"/>
      <sheetName val="Sheet371"/>
      <sheetName val="Sheet2"/>
      <sheetName val="8605ML91"/>
      <sheetName val="0289-K01"/>
      <sheetName val="0289-NA1"/>
      <sheetName val="0289-NA2"/>
      <sheetName val="负极搅拌参数"/>
      <sheetName val="数据"/>
      <sheetName val="Capacity Retention_Data"/>
      <sheetName val="Stand Capacity Retention_Data"/>
      <sheetName val="Database"/>
      <sheetName val="배부금액"/>
      <sheetName val="COSTS"/>
      <sheetName val="REPAIR DATA - CONTAINER #5"/>
      <sheetName val="液"/>
      <sheetName val="Performance Summary"/>
      <sheetName val="DR-13C619211086"/>
      <sheetName val="DR-13C619610734"/>
      <sheetName val="产气压力sum"/>
      <sheetName val="45度2G循环"/>
      <sheetName val="Fading_Data"/>
      <sheetName val="Cycle_25℃"/>
      <sheetName val="Sheet7"/>
      <sheetName val="事件与伤害定义"/>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Set>
  </externalBook>
</externalLink>
</file>

<file path=xl/externalLinks/externalLink2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25PIECE"/>
    </sheetNames>
    <sheetDataSet>
      <sheetData sheetId="0" refreshError="1">
        <row r="10">
          <cell r="O10">
            <v>3</v>
          </cell>
          <cell r="P10">
            <v>1</v>
          </cell>
          <cell r="Q10">
            <v>1</v>
          </cell>
          <cell r="R10">
            <v>1</v>
          </cell>
          <cell r="S10">
            <v>1</v>
          </cell>
          <cell r="T10">
            <v>1</v>
          </cell>
          <cell r="U10">
            <v>1</v>
          </cell>
          <cell r="V10">
            <v>1</v>
          </cell>
          <cell r="W10">
            <v>1</v>
          </cell>
          <cell r="X10">
            <v>1</v>
          </cell>
          <cell r="Y10">
            <v>1</v>
          </cell>
          <cell r="Z10">
            <v>1</v>
          </cell>
          <cell r="AA10">
            <v>1</v>
          </cell>
          <cell r="AB10">
            <v>1</v>
          </cell>
          <cell r="AC10">
            <v>1</v>
          </cell>
          <cell r="AD10">
            <v>1</v>
          </cell>
          <cell r="AE10">
            <v>1</v>
          </cell>
          <cell r="AF10">
            <v>1</v>
          </cell>
          <cell r="AG10">
            <v>1</v>
          </cell>
          <cell r="AH10">
            <v>1</v>
          </cell>
          <cell r="AI10">
            <v>1</v>
          </cell>
          <cell r="AJ10">
            <v>1</v>
          </cell>
          <cell r="AK10">
            <v>1</v>
          </cell>
          <cell r="AL10">
            <v>1</v>
          </cell>
          <cell r="AM10">
            <v>1</v>
          </cell>
        </row>
      </sheetData>
    </sheetDataSet>
  </externalBook>
</externalLink>
</file>

<file path=xl/externalLinks/externalLink2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arrant"/>
      <sheetName val="RSV"/>
      <sheetName val="ISRDATA"/>
      <sheetName val="Dell FAI"/>
      <sheetName val="CpK "/>
      <sheetName val="Dell-Cpk"/>
      <sheetName val="Dell-Cpk (2)"/>
      <sheetName val="Dell-Cpk (3)"/>
      <sheetName val="Dell-Cpk (4)"/>
      <sheetName val="Gage R&amp;R"/>
      <sheetName val="Drawing"/>
      <sheetName val="Matl Cert"/>
    </sheetNames>
    <sheetDataSet>
      <sheetData sheetId="0"/>
      <sheetData sheetId="1"/>
      <sheetData sheetId="2" refreshError="1">
        <row r="4">
          <cell r="C4" t="str">
            <v>0F564</v>
          </cell>
        </row>
        <row r="5">
          <cell r="H5">
            <v>37159</v>
          </cell>
        </row>
      </sheetData>
      <sheetData sheetId="3"/>
      <sheetData sheetId="4"/>
      <sheetData sheetId="5"/>
      <sheetData sheetId="6"/>
      <sheetData sheetId="7"/>
      <sheetData sheetId="8"/>
      <sheetData sheetId="9"/>
      <sheetData sheetId="10"/>
      <sheetData sheetId="11"/>
    </sheetDataSet>
  </externalBook>
</externalLink>
</file>

<file path=xl/externalLinks/externalLink2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Lot_1"/>
      <sheetName val="Lot_2"/>
      <sheetName val="Lot_3"/>
      <sheetName val="Lot_4"/>
      <sheetName val="Sheet16"/>
      <sheetName val="Sheet17"/>
      <sheetName val="Sheet27"/>
      <sheetName val="Sheet28"/>
      <sheetName val="Sheet46"/>
      <sheetName val="Sheet47"/>
      <sheetName val="Sheet66"/>
      <sheetName val="Sheet306"/>
      <sheetName val="Sheet307"/>
      <sheetName val="Sheet321"/>
      <sheetName val="Sheet322"/>
      <sheetName val="Sheet354"/>
      <sheetName val="Sheet355"/>
      <sheetName val="Sheet362"/>
      <sheetName val="Sheet363"/>
      <sheetName val="Sheet368"/>
      <sheetName val="Sheet371"/>
      <sheetName val="Sheet218"/>
      <sheetName val="Sheet219"/>
      <sheetName val="Sheet287"/>
      <sheetName val="Sheet290"/>
      <sheetName val="Sheet338"/>
      <sheetName val="Sheet339"/>
      <sheetName val="Sheet342"/>
      <sheetName val="Sheet343"/>
      <sheetName val="Sheet346"/>
      <sheetName val="Sheet347"/>
      <sheetName val="Sheet142"/>
      <sheetName val="Sheet143"/>
      <sheetName val="Sheet309"/>
      <sheetName val="Sheet310"/>
      <sheetName val="Sheet360"/>
      <sheetName val="Sheet361"/>
      <sheetName val="Sheet364"/>
      <sheetName val="Sheet365"/>
      <sheetName val="Sheet369"/>
      <sheetName val="Sheet370"/>
      <sheetName val="Sheet70"/>
      <sheetName val="Sheet73"/>
      <sheetName val="Sheet213"/>
      <sheetName val="Sheet214"/>
      <sheetName val="Sheet272"/>
      <sheetName val="Sheet273"/>
      <sheetName val="Sheet278"/>
      <sheetName val="Sheet279"/>
      <sheetName val="Sheet281"/>
      <sheetName val="Sheet286"/>
      <sheetName val="Sheet200"/>
      <sheetName val="Sheet203"/>
      <sheetName val="Sheet225"/>
      <sheetName val="Sheet226"/>
      <sheetName val="Sheet254"/>
      <sheetName val="Sheet265"/>
      <sheetName val="Sheet270"/>
      <sheetName val="Sheet271"/>
      <sheetName val="Sheet275"/>
      <sheetName val="Sheet276"/>
      <sheetName val="Sheet220"/>
      <sheetName val="Sheet221"/>
      <sheetName val="Sheet301"/>
      <sheetName val="Sheet302"/>
      <sheetName val="Sheet318"/>
      <sheetName val="Sheet320"/>
      <sheetName val="Sheet323"/>
      <sheetName val="Sheet324"/>
      <sheetName val="Sheet330"/>
      <sheetName val="Sheet331"/>
      <sheetName val="Sheet12"/>
      <sheetName val="Sheet13"/>
      <sheetName val="Sheet79"/>
      <sheetName val="Sheet94"/>
      <sheetName val="Sheet178"/>
      <sheetName val="Sheet189"/>
      <sheetName val="Sheet196"/>
      <sheetName val="Sheet197"/>
      <sheetName val="Sheet201"/>
      <sheetName val="Sheet202"/>
      <sheetName val="Sheet80"/>
      <sheetName val="Sheet81"/>
      <sheetName val="Sheet216"/>
      <sheetName val="Sheet217"/>
      <sheetName val="Sheet282"/>
      <sheetName val="Sheet283"/>
      <sheetName val="Sheet288"/>
      <sheetName val="Sheet289"/>
      <sheetName val="Sheet294"/>
      <sheetName val="Sheet295"/>
      <sheetName val="Sheet118"/>
      <sheetName val="Sheet119"/>
      <sheetName val="Sheet205"/>
      <sheetName val="Sheet206"/>
      <sheetName val="Sheet230"/>
      <sheetName val="Sheet231"/>
      <sheetName val="Sheet248"/>
      <sheetName val="Sheet249"/>
      <sheetName val="Sheet255"/>
      <sheetName val="Sheet263"/>
      <sheetName val="Sheet59"/>
      <sheetName val="Sheet62"/>
      <sheetName val="Sheet123"/>
      <sheetName val="Sheet128"/>
      <sheetName val="Sheet260"/>
      <sheetName val="Sheet261"/>
      <sheetName val="Sheet266"/>
      <sheetName val="Sheet267"/>
      <sheetName val="Sheet284"/>
      <sheetName val="Sheet285"/>
      <sheetName val="Sheet158"/>
      <sheetName val="Sheet171"/>
      <sheetName val="Sheet209"/>
      <sheetName val="Sheet210"/>
      <sheetName val="Sheet228"/>
      <sheetName val="Sheet229"/>
      <sheetName val="Sheet238"/>
      <sheetName val="Sheet241"/>
      <sheetName val="Sheet258"/>
      <sheetName val="Sheet259"/>
      <sheetName val="Sheet82"/>
      <sheetName val="Sheet91"/>
      <sheetName val="Sheet179"/>
      <sheetName val="Sheet182"/>
      <sheetName val="Sheet252"/>
      <sheetName val="Sheet253"/>
      <sheetName val="Sheet3"/>
      <sheetName val="Sheet4"/>
      <sheetName val="Sheet256"/>
      <sheetName val="Sheet257"/>
      <sheetName val="Sheet262"/>
      <sheetName val="Sheet264"/>
      <sheetName val="Sheet124"/>
      <sheetName val="Sheet127"/>
      <sheetName val="Sheet211"/>
      <sheetName val="Sheet212"/>
      <sheetName val="Sheet234"/>
      <sheetName val="Sheet235"/>
      <sheetName val="Sheet242"/>
      <sheetName val="Sheet243"/>
      <sheetName val="Sheet246"/>
      <sheetName val="Sheet247"/>
      <sheetName val="Sheet48"/>
      <sheetName val="Sheet53"/>
      <sheetName val="Sheet114"/>
      <sheetName val="Sheet115"/>
      <sheetName val="Sheet183"/>
      <sheetName val="Sheet186"/>
      <sheetName val="Sheet193"/>
      <sheetName val="Sheet194"/>
      <sheetName val="Sheet198"/>
      <sheetName val="Sheet199"/>
      <sheetName val="Sheet55"/>
      <sheetName val="Sheet58"/>
      <sheetName val="Sheet125"/>
      <sheetName val="Sheet126"/>
      <sheetName val="Sheet180"/>
      <sheetName val="Sheet181"/>
      <sheetName val="Sheet184"/>
      <sheetName val="Sheet185"/>
      <sheetName val="Sheet187"/>
      <sheetName val="Sheet188"/>
      <sheetName val="Sheet112"/>
      <sheetName val="Sheet113"/>
      <sheetName val="Sheet191"/>
      <sheetName val="Sheet192"/>
      <sheetName val="Sheet232"/>
      <sheetName val="Sheet233"/>
      <sheetName val="Sheet236"/>
      <sheetName val="Sheet237"/>
      <sheetName val="Sheet239"/>
      <sheetName val="Sheet240"/>
      <sheetName val="Sheet30"/>
      <sheetName val="Sheet33"/>
      <sheetName val="Sheet84"/>
      <sheetName val="Sheet90"/>
      <sheetName val="Sheet140"/>
      <sheetName val="Sheet141"/>
      <sheetName val="Sheet148"/>
      <sheetName val="Sheet155"/>
      <sheetName val="Sheet165"/>
      <sheetName val="Sheet170"/>
      <sheetName val="Sheet36"/>
      <sheetName val="Sheet37"/>
      <sheetName val="Sheet97"/>
      <sheetName val="Sheet108"/>
      <sheetName val="Sheet130"/>
      <sheetName val="Sheet131"/>
      <sheetName val="Sheet134"/>
      <sheetName val="Sheet139"/>
      <sheetName val="Sheet144"/>
      <sheetName val="Sheet145"/>
      <sheetName val="Sheet98"/>
      <sheetName val="Sheet105"/>
      <sheetName val="Sheet135"/>
      <sheetName val="Sheet138"/>
      <sheetName val="Sheet168"/>
      <sheetName val="Sheet169"/>
      <sheetName val="Sheet172"/>
      <sheetName val="Sheet173"/>
      <sheetName val="Sheet175"/>
      <sheetName val="Sheet176"/>
      <sheetName val="Sheet68"/>
      <sheetName val="Sheet69"/>
      <sheetName val="Sheet136"/>
      <sheetName val="Sheet137"/>
      <sheetName val="Sheet149"/>
      <sheetName val="Sheet152"/>
      <sheetName val="Sheet161"/>
      <sheetName val="Sheet163"/>
      <sheetName val="Sheet166"/>
      <sheetName val="Sheet167"/>
      <sheetName val="Sheet24"/>
      <sheetName val="Sheet29"/>
      <sheetName val="Sheet75"/>
      <sheetName val="Sheet76"/>
      <sheetName val="Sheet146"/>
      <sheetName val="Sheet147"/>
      <sheetName val="Sheet150"/>
      <sheetName val="Sheet151"/>
      <sheetName val="Sheet156"/>
      <sheetName val="Sheet157"/>
      <sheetName val="Sheet42"/>
      <sheetName val="Sheet43"/>
      <sheetName val="Sheet77"/>
      <sheetName val="Sheet78"/>
      <sheetName val="Sheet85"/>
      <sheetName val="Sheet87"/>
      <sheetName val="Sheet101"/>
      <sheetName val="Sheet102"/>
      <sheetName val="Sheet106"/>
      <sheetName val="Sheet107"/>
      <sheetName val="Sheet18"/>
      <sheetName val="Sheet19"/>
      <sheetName val="Sheet120"/>
      <sheetName val="Sheet121"/>
      <sheetName val="Sheet153"/>
      <sheetName val="Sheet154"/>
      <sheetName val="Sheet159"/>
      <sheetName val="Sheet160"/>
      <sheetName val="Sheet162"/>
      <sheetName val="Sheet164"/>
      <sheetName val="Sheet10"/>
      <sheetName val="Sheet11"/>
      <sheetName val="Sheet71"/>
      <sheetName val="Sheet72"/>
      <sheetName val="Sheet88"/>
      <sheetName val="Sheet89"/>
      <sheetName val="Sheet92"/>
      <sheetName val="Sheet93"/>
      <sheetName val="Sheet95"/>
      <sheetName val="Sheet96"/>
      <sheetName val="Sheet34"/>
      <sheetName val="Sheet35"/>
      <sheetName val="Sheet83"/>
      <sheetName val="Sheet86"/>
      <sheetName val="Sheet99"/>
      <sheetName val="Sheet100"/>
      <sheetName val="Sheet103"/>
      <sheetName val="Sheet104"/>
      <sheetName val="Sheet109"/>
      <sheetName val="Sheet110"/>
      <sheetName val="Sheet6"/>
      <sheetName val="Sheet7"/>
      <sheetName val="Sheet25"/>
      <sheetName val="Sheet26"/>
      <sheetName val="Sheet54"/>
      <sheetName val="Sheet60"/>
      <sheetName val="Sheet61"/>
      <sheetName val="Sheet64"/>
      <sheetName val="Sheet65"/>
      <sheetName val="Sheet22"/>
      <sheetName val="Sheet23"/>
      <sheetName val="Sheet31"/>
      <sheetName val="Sheet32"/>
      <sheetName val="Sheet40"/>
      <sheetName val="Sheet41"/>
      <sheetName val="Sheet50"/>
      <sheetName val="Sheet51"/>
      <sheetName val="Sheet56"/>
      <sheetName val="Sheet57"/>
      <sheetName val="Sheet44"/>
      <sheetName val="Sheet45"/>
      <sheetName val="Sheet49"/>
      <sheetName val="Sheet52"/>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ow r="1">
          <cell r="D1">
            <v>11.257563059543131</v>
          </cell>
        </row>
        <row r="2">
          <cell r="D2">
            <v>11.308983226923697</v>
          </cell>
        </row>
        <row r="3">
          <cell r="D3">
            <v>11.360403394304262</v>
          </cell>
        </row>
        <row r="4">
          <cell r="D4">
            <v>11.411823561684828</v>
          </cell>
        </row>
        <row r="5">
          <cell r="D5">
            <v>11.463243729065395</v>
          </cell>
        </row>
        <row r="6">
          <cell r="D6">
            <v>11.51466389644596</v>
          </cell>
        </row>
        <row r="7">
          <cell r="D7">
            <v>11.566084063826526</v>
          </cell>
        </row>
        <row r="8">
          <cell r="D8">
            <v>11.617504231207093</v>
          </cell>
        </row>
        <row r="9">
          <cell r="D9">
            <v>11.668924398587658</v>
          </cell>
        </row>
        <row r="10">
          <cell r="D10">
            <v>11.720344565968224</v>
          </cell>
        </row>
        <row r="11">
          <cell r="D11">
            <v>11.771764733348791</v>
          </cell>
        </row>
        <row r="12">
          <cell r="D12">
            <v>11.823184900729355</v>
          </cell>
        </row>
        <row r="13">
          <cell r="D13">
            <v>11.874605068109922</v>
          </cell>
        </row>
        <row r="14">
          <cell r="D14">
            <v>11.926025235490489</v>
          </cell>
        </row>
        <row r="15">
          <cell r="D15">
            <v>11.977445402871055</v>
          </cell>
        </row>
        <row r="16">
          <cell r="D16">
            <v>12.02886557025162</v>
          </cell>
        </row>
        <row r="17">
          <cell r="D17">
            <v>12.080285737632186</v>
          </cell>
        </row>
        <row r="18">
          <cell r="D18">
            <v>12.131705905012753</v>
          </cell>
        </row>
        <row r="19">
          <cell r="D19">
            <v>12.183126072393318</v>
          </cell>
        </row>
        <row r="20">
          <cell r="D20">
            <v>12.234546239773884</v>
          </cell>
        </row>
        <row r="21">
          <cell r="D21">
            <v>12.285966407154451</v>
          </cell>
        </row>
        <row r="22">
          <cell r="D22">
            <v>12.337386574535016</v>
          </cell>
        </row>
        <row r="23">
          <cell r="D23">
            <v>12.388806741915582</v>
          </cell>
        </row>
        <row r="24">
          <cell r="D24">
            <v>12.440226909296149</v>
          </cell>
        </row>
        <row r="25">
          <cell r="D25">
            <v>12.491647076676713</v>
          </cell>
        </row>
        <row r="26">
          <cell r="D26">
            <v>12.54306724405728</v>
          </cell>
        </row>
        <row r="27">
          <cell r="D27">
            <v>12.594487411437846</v>
          </cell>
        </row>
        <row r="28">
          <cell r="D28">
            <v>12.645907578818411</v>
          </cell>
        </row>
        <row r="29">
          <cell r="D29">
            <v>12.697327746198978</v>
          </cell>
        </row>
        <row r="30">
          <cell r="D30">
            <v>12.748747913579544</v>
          </cell>
        </row>
        <row r="31">
          <cell r="D31">
            <v>12.800168080960109</v>
          </cell>
        </row>
        <row r="32">
          <cell r="D32">
            <v>12.851588248340676</v>
          </cell>
        </row>
        <row r="33">
          <cell r="D33">
            <v>12.903008415721242</v>
          </cell>
        </row>
        <row r="34">
          <cell r="D34">
            <v>12.954428583101807</v>
          </cell>
        </row>
        <row r="35">
          <cell r="D35">
            <v>13.005848750482373</v>
          </cell>
        </row>
        <row r="36">
          <cell r="D36">
            <v>13.05726891786294</v>
          </cell>
        </row>
        <row r="37">
          <cell r="D37">
            <v>13.108689085243505</v>
          </cell>
        </row>
        <row r="38">
          <cell r="D38">
            <v>13.160109252624071</v>
          </cell>
        </row>
        <row r="39">
          <cell r="D39">
            <v>13.211529420004638</v>
          </cell>
        </row>
        <row r="40">
          <cell r="D40">
            <v>13.262949587385204</v>
          </cell>
        </row>
        <row r="41">
          <cell r="D41">
            <v>13.314369754765769</v>
          </cell>
        </row>
        <row r="42">
          <cell r="D42">
            <v>13.365789922146336</v>
          </cell>
        </row>
        <row r="43">
          <cell r="D43">
            <v>13.417210089526902</v>
          </cell>
        </row>
        <row r="44">
          <cell r="D44">
            <v>13.468630256907467</v>
          </cell>
        </row>
        <row r="45">
          <cell r="D45">
            <v>13.520050424288033</v>
          </cell>
        </row>
        <row r="46">
          <cell r="D46">
            <v>13.5714705916686</v>
          </cell>
        </row>
        <row r="47">
          <cell r="D47">
            <v>13.622890759049165</v>
          </cell>
        </row>
        <row r="48">
          <cell r="D48">
            <v>13.674310926429731</v>
          </cell>
        </row>
        <row r="49">
          <cell r="D49">
            <v>13.725731093810298</v>
          </cell>
        </row>
        <row r="50">
          <cell r="D50">
            <v>13.777151261190863</v>
          </cell>
        </row>
        <row r="51">
          <cell r="D51">
            <v>13.828571428571429</v>
          </cell>
        </row>
        <row r="52">
          <cell r="D52">
            <v>13.879991595951996</v>
          </cell>
        </row>
        <row r="53">
          <cell r="D53">
            <v>13.93141176333256</v>
          </cell>
        </row>
        <row r="54">
          <cell r="D54">
            <v>13.982831930713127</v>
          </cell>
        </row>
        <row r="55">
          <cell r="D55">
            <v>14.034252098093694</v>
          </cell>
        </row>
        <row r="56">
          <cell r="D56">
            <v>14.085672265474258</v>
          </cell>
        </row>
        <row r="57">
          <cell r="D57">
            <v>14.137092432854825</v>
          </cell>
        </row>
        <row r="58">
          <cell r="D58">
            <v>14.188512600235391</v>
          </cell>
        </row>
        <row r="59">
          <cell r="D59">
            <v>14.239932767615956</v>
          </cell>
        </row>
        <row r="60">
          <cell r="D60">
            <v>14.291352934996523</v>
          </cell>
        </row>
        <row r="61">
          <cell r="D61">
            <v>14.342773102377089</v>
          </cell>
        </row>
        <row r="62">
          <cell r="D62">
            <v>14.394193269757654</v>
          </cell>
        </row>
        <row r="63">
          <cell r="D63">
            <v>14.445613437138221</v>
          </cell>
        </row>
        <row r="64">
          <cell r="D64">
            <v>14.497033604518787</v>
          </cell>
        </row>
        <row r="65">
          <cell r="D65">
            <v>14.548453771899354</v>
          </cell>
        </row>
        <row r="66">
          <cell r="D66">
            <v>14.599873939279918</v>
          </cell>
        </row>
        <row r="67">
          <cell r="D67">
            <v>14.651294106660485</v>
          </cell>
        </row>
        <row r="68">
          <cell r="D68">
            <v>14.702714274041051</v>
          </cell>
        </row>
        <row r="69">
          <cell r="D69">
            <v>14.754134441421616</v>
          </cell>
        </row>
        <row r="70">
          <cell r="D70">
            <v>14.805554608802183</v>
          </cell>
        </row>
        <row r="71">
          <cell r="D71">
            <v>14.856974776182749</v>
          </cell>
        </row>
        <row r="72">
          <cell r="D72">
            <v>14.908394943563314</v>
          </cell>
        </row>
        <row r="73">
          <cell r="D73">
            <v>14.959815110943881</v>
          </cell>
        </row>
        <row r="74">
          <cell r="D74">
            <v>15.011235278324447</v>
          </cell>
        </row>
        <row r="75">
          <cell r="D75">
            <v>15.062655445705012</v>
          </cell>
        </row>
        <row r="76">
          <cell r="D76">
            <v>15.114075613085578</v>
          </cell>
        </row>
        <row r="77">
          <cell r="D77">
            <v>15.165495780466145</v>
          </cell>
        </row>
        <row r="78">
          <cell r="D78">
            <v>15.21691594784671</v>
          </cell>
        </row>
        <row r="79">
          <cell r="D79">
            <v>15.268336115227276</v>
          </cell>
        </row>
        <row r="80">
          <cell r="D80">
            <v>15.319756282607843</v>
          </cell>
        </row>
        <row r="81">
          <cell r="D81">
            <v>15.371176449988408</v>
          </cell>
        </row>
        <row r="82">
          <cell r="D82">
            <v>15.422596617368974</v>
          </cell>
        </row>
        <row r="83">
          <cell r="D83">
            <v>15.474016784749541</v>
          </cell>
        </row>
        <row r="84">
          <cell r="D84">
            <v>15.525436952130105</v>
          </cell>
        </row>
        <row r="85">
          <cell r="D85">
            <v>15.576857119510672</v>
          </cell>
        </row>
        <row r="86">
          <cell r="D86">
            <v>15.628277286891239</v>
          </cell>
        </row>
        <row r="87">
          <cell r="D87">
            <v>15.679697454271803</v>
          </cell>
        </row>
        <row r="88">
          <cell r="D88">
            <v>15.73111762165237</v>
          </cell>
        </row>
        <row r="89">
          <cell r="D89">
            <v>15.782537789032936</v>
          </cell>
        </row>
        <row r="90">
          <cell r="D90">
            <v>15.833957956413501</v>
          </cell>
        </row>
        <row r="91">
          <cell r="D91">
            <v>15.885378123794068</v>
          </cell>
        </row>
        <row r="92">
          <cell r="D92">
            <v>15.936798291174634</v>
          </cell>
        </row>
        <row r="93">
          <cell r="D93">
            <v>15.988218458555201</v>
          </cell>
        </row>
        <row r="94">
          <cell r="D94">
            <v>16.039638625935766</v>
          </cell>
        </row>
        <row r="95">
          <cell r="D95">
            <v>16.091058793316332</v>
          </cell>
        </row>
        <row r="96">
          <cell r="D96">
            <v>16.142478960696899</v>
          </cell>
        </row>
        <row r="97">
          <cell r="D97">
            <v>16.193899128077465</v>
          </cell>
        </row>
        <row r="98">
          <cell r="D98">
            <v>16.245319295458028</v>
          </cell>
        </row>
        <row r="99">
          <cell r="D99">
            <v>16.296739462838595</v>
          </cell>
        </row>
        <row r="100">
          <cell r="D100">
            <v>16.348159630219161</v>
          </cell>
        </row>
      </sheetData>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refreshError="1"/>
      <sheetData sheetId="120" refreshError="1"/>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 sheetId="136" refreshError="1"/>
      <sheetData sheetId="137" refreshError="1"/>
      <sheetData sheetId="138" refreshError="1"/>
      <sheetData sheetId="139" refreshError="1"/>
      <sheetData sheetId="140" refreshError="1"/>
      <sheetData sheetId="141" refreshError="1"/>
      <sheetData sheetId="142" refreshError="1"/>
      <sheetData sheetId="143" refreshError="1"/>
      <sheetData sheetId="144" refreshError="1"/>
      <sheetData sheetId="145" refreshError="1"/>
      <sheetData sheetId="146" refreshError="1"/>
      <sheetData sheetId="147" refreshError="1"/>
      <sheetData sheetId="148" refreshError="1"/>
      <sheetData sheetId="149" refreshError="1"/>
      <sheetData sheetId="150" refreshError="1"/>
      <sheetData sheetId="151" refreshError="1"/>
      <sheetData sheetId="152" refreshError="1"/>
      <sheetData sheetId="153" refreshError="1"/>
      <sheetData sheetId="154" refreshError="1"/>
      <sheetData sheetId="155" refreshError="1"/>
      <sheetData sheetId="156" refreshError="1"/>
      <sheetData sheetId="157" refreshError="1"/>
      <sheetData sheetId="158" refreshError="1"/>
      <sheetData sheetId="159" refreshError="1"/>
      <sheetData sheetId="160" refreshError="1"/>
      <sheetData sheetId="161" refreshError="1"/>
      <sheetData sheetId="162" refreshError="1"/>
      <sheetData sheetId="163" refreshError="1"/>
      <sheetData sheetId="164" refreshError="1"/>
      <sheetData sheetId="165" refreshError="1"/>
      <sheetData sheetId="166" refreshError="1"/>
      <sheetData sheetId="167" refreshError="1"/>
      <sheetData sheetId="168" refreshError="1"/>
      <sheetData sheetId="169" refreshError="1"/>
      <sheetData sheetId="170" refreshError="1"/>
      <sheetData sheetId="171" refreshError="1"/>
      <sheetData sheetId="172" refreshError="1"/>
      <sheetData sheetId="173" refreshError="1"/>
      <sheetData sheetId="174" refreshError="1"/>
      <sheetData sheetId="175" refreshError="1"/>
      <sheetData sheetId="176" refreshError="1"/>
      <sheetData sheetId="177" refreshError="1"/>
      <sheetData sheetId="178" refreshError="1"/>
      <sheetData sheetId="179" refreshError="1"/>
      <sheetData sheetId="180" refreshError="1"/>
      <sheetData sheetId="181" refreshError="1"/>
      <sheetData sheetId="182" refreshError="1"/>
      <sheetData sheetId="183" refreshError="1"/>
      <sheetData sheetId="184" refreshError="1"/>
      <sheetData sheetId="185" refreshError="1"/>
      <sheetData sheetId="186" refreshError="1"/>
      <sheetData sheetId="187" refreshError="1"/>
      <sheetData sheetId="188" refreshError="1"/>
      <sheetData sheetId="189" refreshError="1"/>
      <sheetData sheetId="190" refreshError="1"/>
      <sheetData sheetId="191" refreshError="1"/>
      <sheetData sheetId="192" refreshError="1"/>
      <sheetData sheetId="193" refreshError="1"/>
      <sheetData sheetId="194" refreshError="1"/>
      <sheetData sheetId="195" refreshError="1"/>
      <sheetData sheetId="196" refreshError="1"/>
      <sheetData sheetId="197" refreshError="1"/>
      <sheetData sheetId="198" refreshError="1"/>
      <sheetData sheetId="199" refreshError="1"/>
      <sheetData sheetId="200" refreshError="1"/>
      <sheetData sheetId="201" refreshError="1"/>
      <sheetData sheetId="202" refreshError="1"/>
      <sheetData sheetId="203" refreshError="1"/>
      <sheetData sheetId="204" refreshError="1"/>
      <sheetData sheetId="205" refreshError="1"/>
      <sheetData sheetId="206" refreshError="1"/>
      <sheetData sheetId="207" refreshError="1"/>
      <sheetData sheetId="208" refreshError="1"/>
      <sheetData sheetId="209" refreshError="1"/>
      <sheetData sheetId="210" refreshError="1"/>
      <sheetData sheetId="211" refreshError="1"/>
      <sheetData sheetId="212" refreshError="1"/>
      <sheetData sheetId="213" refreshError="1"/>
      <sheetData sheetId="214" refreshError="1"/>
      <sheetData sheetId="215" refreshError="1"/>
      <sheetData sheetId="216" refreshError="1"/>
      <sheetData sheetId="217" refreshError="1"/>
      <sheetData sheetId="218" refreshError="1"/>
      <sheetData sheetId="219" refreshError="1"/>
      <sheetData sheetId="220" refreshError="1"/>
      <sheetData sheetId="221" refreshError="1"/>
      <sheetData sheetId="222" refreshError="1"/>
      <sheetData sheetId="223" refreshError="1"/>
      <sheetData sheetId="224" refreshError="1"/>
      <sheetData sheetId="225" refreshError="1"/>
      <sheetData sheetId="226" refreshError="1"/>
      <sheetData sheetId="227" refreshError="1"/>
      <sheetData sheetId="228" refreshError="1"/>
      <sheetData sheetId="229" refreshError="1"/>
      <sheetData sheetId="230" refreshError="1"/>
      <sheetData sheetId="231" refreshError="1"/>
      <sheetData sheetId="232" refreshError="1"/>
      <sheetData sheetId="233" refreshError="1"/>
      <sheetData sheetId="234" refreshError="1"/>
      <sheetData sheetId="235" refreshError="1"/>
      <sheetData sheetId="236" refreshError="1"/>
      <sheetData sheetId="237" refreshError="1"/>
      <sheetData sheetId="238" refreshError="1"/>
      <sheetData sheetId="239" refreshError="1"/>
      <sheetData sheetId="240" refreshError="1"/>
      <sheetData sheetId="241" refreshError="1"/>
      <sheetData sheetId="242" refreshError="1"/>
      <sheetData sheetId="243" refreshError="1"/>
      <sheetData sheetId="244" refreshError="1"/>
      <sheetData sheetId="245" refreshError="1"/>
      <sheetData sheetId="246" refreshError="1"/>
      <sheetData sheetId="247" refreshError="1"/>
      <sheetData sheetId="248" refreshError="1"/>
      <sheetData sheetId="249" refreshError="1"/>
      <sheetData sheetId="250" refreshError="1"/>
      <sheetData sheetId="251" refreshError="1"/>
      <sheetData sheetId="252" refreshError="1"/>
      <sheetData sheetId="253" refreshError="1"/>
      <sheetData sheetId="254" refreshError="1"/>
      <sheetData sheetId="255" refreshError="1"/>
      <sheetData sheetId="256" refreshError="1"/>
      <sheetData sheetId="257" refreshError="1"/>
      <sheetData sheetId="258" refreshError="1"/>
      <sheetData sheetId="259" refreshError="1"/>
      <sheetData sheetId="260" refreshError="1"/>
      <sheetData sheetId="261" refreshError="1"/>
      <sheetData sheetId="262" refreshError="1"/>
      <sheetData sheetId="263" refreshError="1"/>
      <sheetData sheetId="264" refreshError="1"/>
      <sheetData sheetId="265" refreshError="1"/>
      <sheetData sheetId="266" refreshError="1"/>
      <sheetData sheetId="267" refreshError="1"/>
      <sheetData sheetId="268" refreshError="1"/>
      <sheetData sheetId="269" refreshError="1"/>
      <sheetData sheetId="270" refreshError="1"/>
      <sheetData sheetId="271" refreshError="1"/>
      <sheetData sheetId="272" refreshError="1"/>
      <sheetData sheetId="273" refreshError="1"/>
      <sheetData sheetId="274" refreshError="1"/>
      <sheetData sheetId="275" refreshError="1"/>
      <sheetData sheetId="276" refreshError="1"/>
      <sheetData sheetId="277" refreshError="1"/>
      <sheetData sheetId="278" refreshError="1"/>
      <sheetData sheetId="279" refreshError="1"/>
      <sheetData sheetId="280" refreshError="1"/>
      <sheetData sheetId="281" refreshError="1"/>
      <sheetData sheetId="282" refreshError="1"/>
      <sheetData sheetId="283" refreshError="1"/>
      <sheetData sheetId="284" refreshError="1"/>
      <sheetData sheetId="285" refreshError="1"/>
    </sheetDataSet>
  </externalBook>
</externalLink>
</file>

<file path=xl/externalLinks/externalLink2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基礎データ計算書 "/>
      <sheetName val="不動産調査報告書"/>
      <sheetName val="Physical Description"/>
      <sheetName val="Loan Borrower Information"/>
      <sheetName val="Tenant Roll"/>
      <sheetName val="Comparable Approach"/>
      <sheetName val="Income Approach"/>
      <sheetName val="Residual Approach"/>
      <sheetName val="Disposition"/>
      <sheetName val="CF Projection"/>
      <sheetName val="価格算出シート"/>
      <sheetName val="Ownership and Lien"/>
      <sheetName val="CF Summary"/>
      <sheetName val="Aggregating Variables"/>
      <sheetName val="Print Macro"/>
      <sheetName val="担保"/>
      <sheetName val="#REF"/>
      <sheetName val="７４期定年到達者"/>
      <sheetName val="個別貸引"/>
      <sheetName val="基礎データ計算書_"/>
      <sheetName val="Physical_Description"/>
      <sheetName val="Loan_Borrower_Information"/>
      <sheetName val="Tenant_Roll"/>
      <sheetName val="Comparable_Approach"/>
      <sheetName val="Income_Approach"/>
      <sheetName val="Residual_Approach"/>
      <sheetName val="CF_Projection"/>
      <sheetName val="Ownership_and_Lien"/>
      <sheetName val="CF_Summary"/>
      <sheetName val="Aggregating_Variables"/>
      <sheetName val="Print_Macro"/>
      <sheetName val="Burnin"/>
    </sheetNames>
    <sheetDataSet>
      <sheetData sheetId="0" refreshError="1"/>
      <sheetData sheetId="1" refreshError="1"/>
      <sheetData sheetId="2" refreshError="1">
        <row r="29">
          <cell r="F29">
            <v>401.45</v>
          </cell>
        </row>
        <row r="47">
          <cell r="F47">
            <v>1566.85</v>
          </cell>
        </row>
      </sheetData>
      <sheetData sheetId="3"/>
      <sheetData sheetId="4" refreshError="1"/>
      <sheetData sheetId="5"/>
      <sheetData sheetId="6"/>
      <sheetData sheetId="7" refreshError="1"/>
      <sheetData sheetId="8"/>
      <sheetData sheetId="9" refreshError="1"/>
      <sheetData sheetId="10" refreshError="1"/>
      <sheetData sheetId="11" refreshError="1"/>
      <sheetData sheetId="12" refreshError="1"/>
      <sheetData sheetId="13"/>
      <sheetData sheetId="14" refreshError="1"/>
      <sheetData sheetId="15"/>
      <sheetData sheetId="16" refreshError="1"/>
      <sheetData sheetId="17" refreshError="1"/>
      <sheetData sheetId="18" refreshError="1"/>
      <sheetData sheetId="19"/>
      <sheetData sheetId="20">
        <row r="29">
          <cell r="F29">
            <v>401.45</v>
          </cell>
        </row>
      </sheetData>
      <sheetData sheetId="21"/>
      <sheetData sheetId="22"/>
      <sheetData sheetId="23"/>
      <sheetData sheetId="24"/>
      <sheetData sheetId="25"/>
      <sheetData sheetId="26"/>
      <sheetData sheetId="27"/>
      <sheetData sheetId="28"/>
      <sheetData sheetId="29"/>
      <sheetData sheetId="30"/>
      <sheetData sheetId="31" refreshError="1"/>
    </sheetDataSet>
  </externalBook>
</externalLink>
</file>

<file path=xl/externalLinks/externalLink2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Macro for ENG Data Process 2000"/>
      <sheetName val="Sheet3"/>
      <sheetName val="IwSweep"/>
      <sheetName val="Sheet2"/>
      <sheetName val="SpiSNR"/>
      <sheetName val="RoadMap_old"/>
      <sheetName val="PD design"/>
      <sheetName val="3-side shielded cavity"/>
      <sheetName val="Process Steps"/>
      <sheetName val="Process Modified"/>
      <sheetName val="DFH effect"/>
      <sheetName val="TMR effect"/>
      <sheetName val="DPData"/>
      <sheetName val="TestCondition"/>
      <sheetName val="Failed_Count"/>
      <sheetName val="2-2"/>
      <sheetName val="2-3"/>
      <sheetName val="2-4"/>
      <sheetName val="2-5"/>
      <sheetName val="2-6"/>
      <sheetName val="2-7"/>
      <sheetName val="2-8"/>
      <sheetName val="2-9"/>
      <sheetName val="2-10"/>
      <sheetName val="2-11"/>
      <sheetName val="UP delta mean"/>
      <sheetName val="#REF"/>
      <sheetName val="0612B0609027-1"/>
      <sheetName val="0612B0609029-1"/>
      <sheetName val="CD_Data"/>
      <sheetName val="Macro%20for%20ENG%20Data%20Proc"/>
      <sheetName val="Fading_Data (2)"/>
      <sheetName val="Fading_Data"/>
      <sheetName val="ISRDATA"/>
      <sheetName val="Sheet371"/>
      <sheetName val="3-8"/>
      <sheetName val="3-9"/>
      <sheetName val="model"/>
      <sheetName val="Database"/>
      <sheetName val="\C2000\Macro\Macro for ENG Data"/>
      <sheetName val="\A\C2000\Macro\Macro for ENG Da"/>
      <sheetName val="\C\A\C2000\Macro\Macro for ENG "/>
      <sheetName val="\C\C\A\C2000\Macro\Macro for EN"/>
      <sheetName val="\C\C\C\A\C2000\Macro\Macro for "/>
      <sheetName val="\@\nd-ri-rfile\rfile\C2000\Macr"/>
      <sheetName val="Capacity Retention_Data"/>
      <sheetName val="Stand Capacity Retention_Data"/>
      <sheetName val="Common"/>
      <sheetName val="Macro_for_ENG_Data_Process_2000"/>
      <sheetName val="PD_design"/>
      <sheetName val="3-side_shielded_cavity"/>
      <sheetName val="Process_Steps"/>
      <sheetName val="Process_Modified"/>
      <sheetName val="DFH_effect"/>
      <sheetName val="TMR_effect"/>
      <sheetName val="UP_delta_mean"/>
      <sheetName val="H3B38FBY"/>
      <sheetName val="DLC20 20"/>
      <sheetName val="RBCUT_9RB-38"/>
      <sheetName val="DEPO-22"/>
      <sheetName val="Title"/>
      <sheetName val="DataSheet"/>
      <sheetName val="ALｱｳﾄﾌﾟｯﾄ能力表"/>
      <sheetName val="国内他社市場"/>
      <sheetName val="DEFINITION"/>
      <sheetName val="less CT"/>
      <sheetName val="R+"/>
      <sheetName val="DP"/>
      <sheetName val="전사집계"/>
      <sheetName val="Calendar"/>
      <sheetName val="RWﾊﾞｼﾞｪｯﾄ書式(V4.2)"/>
      <sheetName val="2748TROまとめ"/>
      <sheetName val="OUTPUT"/>
      <sheetName val="\Users\dengyan\AppData\Local\Mi"/>
      <sheetName val="\C\Users\dengyan\AppData\Local\"/>
      <sheetName val="\C\C\Users\dengyan\AppData\Loca"/>
      <sheetName val="Macro%2520for%2520ENG%2520Data%"/>
      <sheetName val="98종합"/>
      <sheetName val="\Users\Angela.Jin\Library\Conta"/>
      <sheetName val="\C\Users\Angela.Jin\Library\Con"/>
      <sheetName val="\C\C\Users\Angela.Jin\Library\C"/>
      <sheetName val="\C\C\C\Users\Angela.Jin\Library"/>
      <sheetName val="\C\C\C\C\Users\Angela.Jin\Libra"/>
      <sheetName val="\C\C\C\C\C\Users\Angela.Jin\Lib"/>
      <sheetName val="_A_C2000_Macro_Macro for ENG Da"/>
      <sheetName val="_C2000_Macro_Macro for ENG Data"/>
      <sheetName val="Administrative"/>
      <sheetName val="TMK280-02"/>
      <sheetName val="\Users\maoxiaokai\Documents\ pr"/>
      <sheetName val="125PIECE"/>
      <sheetName val="8605ML91"/>
      <sheetName val="\Users\Administrator\Downloads\"/>
      <sheetName val="_Users_Administrator_Downloads_"/>
      <sheetName val="MPS Q3 FY04"/>
      <sheetName val="MPS Q4 FY04"/>
      <sheetName val="combine"/>
      <sheetName val="O1OB"/>
      <sheetName val="\X212\RZ1\BUY-OFF\X212 BUY-OFF "/>
      <sheetName val="Input commodity fallout"/>
      <sheetName val="Reporting"/>
      <sheetName val="02"/>
      <sheetName val="09"/>
      <sheetName val="Cork"/>
      <sheetName val="_X212_RZ1_BUY-OFF_X212 BUY-OFF "/>
      <sheetName val="\\10.12.8.89\18S2006-two connec"/>
      <sheetName val="\C\X212\RZ1\BUY-OFF\X212 BUY-OF"/>
      <sheetName val="\\csg00fls01\A\C2000\Macro\Macr"/>
      <sheetName val="\\10.12.8.89\18s2003\A\C2000\Ma"/>
      <sheetName val="\X277C\277C格式BUYOFF(0)\277C格式BU"/>
      <sheetName val="\\10.12.8.89\18s2003\18s2003\C\"/>
      <sheetName val="\Users\niuzb\AppData\Local\Micr"/>
      <sheetName val="\C\Users\niuzb\AppData\Local\Mi"/>
      <sheetName val="\C\C\Users\niuzb\AppData\Local\"/>
      <sheetName val="\C\C\C\Users\niuzb\AppData\Loca"/>
      <sheetName val="\\ssl-file\@\nd-ri-rfile\rfile\"/>
      <sheetName val="\Users\Jessica\Library\Containe"/>
      <sheetName val="\C\Users\Jessica\Library\Contai"/>
      <sheetName val="DEF"/>
      <sheetName val="\Users\junshi.ren\AppData\Local"/>
      <sheetName val="\C\Users\Joseph\Desktop\C\C\A\C"/>
      <sheetName val="\C\C\Users\Joseph\Desktop\C\C\A"/>
      <sheetName val=" CPK "/>
      <sheetName val="FLB_Base"/>
      <sheetName val="DAILY "/>
      <sheetName val="june 04"/>
      <sheetName val="DECEMBER (SF REV 11-4)"/>
      <sheetName val="QYH &amp; J33i November plan"/>
      <sheetName val="QYH &amp; J33i December plan"/>
      <sheetName val="NOVEMBER (SF REV 11-3)"/>
      <sheetName val="DECEMBER (SF REV 11-3)"/>
      <sheetName val="スラスト"/>
      <sheetName val="Z-SCORE &amp; COMPARISON"/>
      <sheetName val="\Users\sanjaysheth\Library\Cont"/>
      <sheetName val="\C\Users\sanjaysheth\Library\Co"/>
      <sheetName val="\C\C\Users\sanjaysheth\Library\"/>
      <sheetName val="\Users\tedzhao\Library\Containe"/>
    </sheetNames>
    <definedNames>
      <definedName name="Histogram_Plot_Create"/>
    </defined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refreshError="1"/>
      <sheetData sheetId="27" refreshError="1"/>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 sheetId="52" refreshError="1"/>
      <sheetData sheetId="53" refreshError="1"/>
      <sheetData sheetId="54" refreshError="1"/>
      <sheetData sheetId="55" refreshError="1"/>
      <sheetData sheetId="56" refreshError="1"/>
      <sheetData sheetId="57" refreshError="1"/>
      <sheetData sheetId="58" refreshError="1"/>
      <sheetData sheetId="59" refreshError="1"/>
      <sheetData sheetId="60" refreshError="1"/>
      <sheetData sheetId="61" refreshError="1"/>
      <sheetData sheetId="62" refreshError="1"/>
      <sheetData sheetId="63" refreshError="1"/>
      <sheetData sheetId="64" refreshError="1"/>
      <sheetData sheetId="65" refreshError="1"/>
      <sheetData sheetId="66" refreshError="1"/>
      <sheetData sheetId="67" refreshError="1"/>
      <sheetData sheetId="68" refreshError="1"/>
      <sheetData sheetId="69" refreshError="1"/>
      <sheetData sheetId="70" refreshError="1"/>
      <sheetData sheetId="71" refreshError="1"/>
      <sheetData sheetId="72" refreshError="1"/>
      <sheetData sheetId="73" refreshError="1"/>
      <sheetData sheetId="74" refreshError="1"/>
      <sheetData sheetId="75" refreshError="1"/>
      <sheetData sheetId="76" refreshError="1"/>
      <sheetData sheetId="77" refreshError="1"/>
      <sheetData sheetId="78" refreshError="1"/>
      <sheetData sheetId="79" refreshError="1"/>
      <sheetData sheetId="80" refreshError="1"/>
      <sheetData sheetId="81" refreshError="1"/>
      <sheetData sheetId="82" refreshError="1"/>
      <sheetData sheetId="83" refreshError="1"/>
      <sheetData sheetId="84" refreshError="1"/>
      <sheetData sheetId="85" refreshError="1"/>
      <sheetData sheetId="86" refreshError="1"/>
      <sheetData sheetId="87" refreshError="1"/>
      <sheetData sheetId="88" refreshError="1"/>
      <sheetData sheetId="89" refreshError="1"/>
      <sheetData sheetId="90" refreshError="1"/>
      <sheetData sheetId="91" refreshError="1"/>
      <sheetData sheetId="92" refreshError="1"/>
      <sheetData sheetId="93" refreshError="1"/>
      <sheetData sheetId="94" refreshError="1"/>
      <sheetData sheetId="95" refreshError="1"/>
      <sheetData sheetId="96" refreshError="1"/>
      <sheetData sheetId="97" refreshError="1"/>
      <sheetData sheetId="98" refreshError="1"/>
      <sheetData sheetId="99" refreshError="1"/>
      <sheetData sheetId="100" refreshError="1"/>
      <sheetData sheetId="101" refreshError="1"/>
      <sheetData sheetId="102" refreshError="1"/>
      <sheetData sheetId="103" refreshError="1"/>
      <sheetData sheetId="104" refreshError="1"/>
      <sheetData sheetId="105" refreshError="1"/>
      <sheetData sheetId="106" refreshError="1"/>
      <sheetData sheetId="107" refreshError="1"/>
      <sheetData sheetId="108" refreshError="1"/>
      <sheetData sheetId="109" refreshError="1"/>
      <sheetData sheetId="110" refreshError="1"/>
      <sheetData sheetId="111" refreshError="1"/>
      <sheetData sheetId="112" refreshError="1"/>
      <sheetData sheetId="113" refreshError="1"/>
      <sheetData sheetId="114" refreshError="1"/>
      <sheetData sheetId="115" refreshError="1"/>
      <sheetData sheetId="116" refreshError="1"/>
      <sheetData sheetId="117" refreshError="1"/>
      <sheetData sheetId="118" refreshError="1"/>
      <sheetData sheetId="119"/>
      <sheetData sheetId="120"/>
      <sheetData sheetId="121" refreshError="1"/>
      <sheetData sheetId="122" refreshError="1"/>
      <sheetData sheetId="123" refreshError="1"/>
      <sheetData sheetId="124" refreshError="1"/>
      <sheetData sheetId="125" refreshError="1"/>
      <sheetData sheetId="126" refreshError="1"/>
      <sheetData sheetId="127" refreshError="1"/>
      <sheetData sheetId="128" refreshError="1"/>
      <sheetData sheetId="129" refreshError="1"/>
      <sheetData sheetId="130" refreshError="1"/>
      <sheetData sheetId="131" refreshError="1"/>
      <sheetData sheetId="132" refreshError="1"/>
      <sheetData sheetId="133" refreshError="1"/>
      <sheetData sheetId="134" refreshError="1"/>
      <sheetData sheetId="135" refreshError="1"/>
    </sheetDataSet>
  </externalBook>
</externalLink>
</file>

<file path=xl/externalLinks/externalLink2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hart"/>
      <sheetName val="Sheet1"/>
      <sheetName val="Data"/>
      <sheetName val="061283100030"/>
      <sheetName val="061283100100"/>
      <sheetName val="061283100158"/>
      <sheetName val="061283100042"/>
      <sheetName val="061283100043"/>
      <sheetName val="061283100044"/>
      <sheetName val="061283100104"/>
      <sheetName val="061283100111"/>
      <sheetName val="061283100114"/>
      <sheetName val="061283100072"/>
      <sheetName val="061283100073"/>
      <sheetName val="061283100074"/>
      <sheetName val="Cycle"/>
      <sheetName val="model"/>
      <sheetName val="Distribution7"/>
      <sheetName val="Capacity Retention_Data"/>
      <sheetName val="Capacity_Retention_Data"/>
      <sheetName val="14593CR1"/>
      <sheetName val="14593CR2"/>
      <sheetName val="14593IM1"/>
      <sheetName val="14593SH1"/>
      <sheetName val="ISRDATA"/>
    </sheetNames>
    <sheetDataSet>
      <sheetData sheetId="0">
        <row r="1">
          <cell r="A1" t="str">
            <v>D0(mAh)</v>
          </cell>
        </row>
      </sheetData>
      <sheetData sheetId="1">
        <row r="1">
          <cell r="A1" t="str">
            <v>D0(mAh)</v>
          </cell>
        </row>
      </sheetData>
      <sheetData sheetId="2" refreshError="1">
        <row r="1">
          <cell r="A1" t="str">
            <v>D0(mAh)</v>
          </cell>
        </row>
        <row r="2">
          <cell r="A2">
            <v>2.5087000000000002E-2</v>
          </cell>
        </row>
        <row r="3">
          <cell r="A3">
            <v>4.9535999999999997E-2</v>
          </cell>
        </row>
        <row r="4">
          <cell r="A4">
            <v>2.2537999999999999E-2</v>
          </cell>
        </row>
        <row r="5">
          <cell r="A5">
            <v>4.6968999999999997E-2</v>
          </cell>
        </row>
        <row r="6">
          <cell r="A6">
            <v>4.2800999999999999E-2</v>
          </cell>
        </row>
        <row r="7">
          <cell r="A7">
            <v>4.2206E-2</v>
          </cell>
        </row>
        <row r="8">
          <cell r="A8">
            <v>2.4726999999999999E-2</v>
          </cell>
        </row>
        <row r="9">
          <cell r="A9">
            <v>6.2143999999999998E-2</v>
          </cell>
        </row>
        <row r="10">
          <cell r="A10">
            <v>2.0174000000000001E-2</v>
          </cell>
        </row>
        <row r="11">
          <cell r="A11">
            <v>3.8531000000000003E-2</v>
          </cell>
        </row>
        <row r="12">
          <cell r="A12">
            <v>3.5054000000000002E-2</v>
          </cell>
        </row>
        <row r="13">
          <cell r="A13">
            <v>5.0713000000000001E-2</v>
          </cell>
        </row>
        <row r="14">
          <cell r="A14">
            <v>5.9547999999999997E-2</v>
          </cell>
        </row>
        <row r="15">
          <cell r="A15">
            <v>2.1468999999999999E-2</v>
          </cell>
        </row>
        <row r="16">
          <cell r="A16">
            <v>3.7283999999999998E-2</v>
          </cell>
        </row>
        <row r="17">
          <cell r="A17">
            <v>1.8482999999999999E-2</v>
          </cell>
        </row>
        <row r="18">
          <cell r="A18">
            <v>2.8247000000000001E-2</v>
          </cell>
        </row>
        <row r="19">
          <cell r="A19">
            <v>6.2213999999999998E-2</v>
          </cell>
        </row>
        <row r="20">
          <cell r="A20">
            <v>1.6202000000000001E-2</v>
          </cell>
        </row>
        <row r="21">
          <cell r="A21">
            <v>1.8475999999999999E-2</v>
          </cell>
        </row>
        <row r="22">
          <cell r="A22">
            <v>3.4222000000000002E-2</v>
          </cell>
        </row>
        <row r="23">
          <cell r="A23">
            <v>2.1155E-2</v>
          </cell>
        </row>
        <row r="24">
          <cell r="A24">
            <v>3.3977E-2</v>
          </cell>
        </row>
        <row r="25">
          <cell r="A25">
            <v>6.4517000000000005E-2</v>
          </cell>
        </row>
        <row r="26">
          <cell r="A26">
            <v>8.3840000000000008E-3</v>
          </cell>
        </row>
        <row r="27">
          <cell r="A27">
            <v>1.7597999999999999E-2</v>
          </cell>
        </row>
        <row r="28">
          <cell r="A28">
            <v>1.7510999999999999E-2</v>
          </cell>
        </row>
        <row r="29">
          <cell r="A29">
            <v>2.7902E-2</v>
          </cell>
        </row>
        <row r="30">
          <cell r="A30">
            <v>5.8706000000000001E-2</v>
          </cell>
        </row>
        <row r="31">
          <cell r="A31">
            <v>1.9406E-2</v>
          </cell>
        </row>
        <row r="32">
          <cell r="A32">
            <v>3.4987999999999998E-2</v>
          </cell>
        </row>
        <row r="33">
          <cell r="A33">
            <v>6.8751999999999994E-2</v>
          </cell>
        </row>
        <row r="34">
          <cell r="A34">
            <v>2.095E-2</v>
          </cell>
        </row>
        <row r="35">
          <cell r="A35">
            <v>6.5583000000000002E-2</v>
          </cell>
        </row>
        <row r="36">
          <cell r="A36">
            <v>2.1537000000000001E-2</v>
          </cell>
        </row>
        <row r="37">
          <cell r="A37">
            <v>3.7157999999999997E-2</v>
          </cell>
        </row>
        <row r="38">
          <cell r="A38">
            <v>2.0433E-2</v>
          </cell>
        </row>
        <row r="39">
          <cell r="A39">
            <v>5.2400000000000002E-2</v>
          </cell>
        </row>
        <row r="40">
          <cell r="A40">
            <v>1.9182999999999999E-2</v>
          </cell>
        </row>
        <row r="41">
          <cell r="A41">
            <v>5.1813999999999999E-2</v>
          </cell>
        </row>
        <row r="42">
          <cell r="A42">
            <v>2.2977000000000001E-2</v>
          </cell>
        </row>
        <row r="43">
          <cell r="A43">
            <v>6.4366999999999994E-2</v>
          </cell>
        </row>
        <row r="44">
          <cell r="A44">
            <v>5.2106E-2</v>
          </cell>
        </row>
        <row r="45">
          <cell r="A45">
            <v>3.9854000000000001E-2</v>
          </cell>
        </row>
        <row r="46">
          <cell r="A46">
            <v>6.7380999999999996E-2</v>
          </cell>
        </row>
        <row r="47">
          <cell r="A47">
            <v>3.5576999999999998E-2</v>
          </cell>
        </row>
        <row r="48">
          <cell r="A48">
            <v>5.7172000000000001E-2</v>
          </cell>
        </row>
        <row r="49">
          <cell r="A49">
            <v>6.9461999999999996E-2</v>
          </cell>
        </row>
        <row r="50">
          <cell r="A50">
            <v>7.672E-3</v>
          </cell>
        </row>
        <row r="51">
          <cell r="A51">
            <v>1.9569E-2</v>
          </cell>
        </row>
        <row r="52">
          <cell r="A52">
            <v>6.7019999999999996E-3</v>
          </cell>
        </row>
        <row r="53">
          <cell r="A53">
            <v>5.2250999999999999E-2</v>
          </cell>
        </row>
        <row r="54">
          <cell r="A54">
            <v>5.6920999999999999E-2</v>
          </cell>
        </row>
        <row r="55">
          <cell r="A55">
            <v>6.0149000000000001E-2</v>
          </cell>
        </row>
        <row r="56">
          <cell r="A56">
            <v>1.3221E-2</v>
          </cell>
        </row>
        <row r="57">
          <cell r="A57">
            <v>3.6851000000000002E-2</v>
          </cell>
        </row>
        <row r="58">
          <cell r="A58">
            <v>4.3361999999999998E-2</v>
          </cell>
        </row>
        <row r="59">
          <cell r="A59">
            <v>4.9662999999999999E-2</v>
          </cell>
        </row>
        <row r="60">
          <cell r="A60">
            <v>1.8367999999999999E-2</v>
          </cell>
        </row>
        <row r="61">
          <cell r="A61">
            <v>3.1019000000000001E-2</v>
          </cell>
        </row>
        <row r="62">
          <cell r="A62">
            <v>2.3007E-2</v>
          </cell>
        </row>
        <row r="63">
          <cell r="A63">
            <v>6.6533999999999996E-2</v>
          </cell>
        </row>
        <row r="64">
          <cell r="A64">
            <v>3.6767000000000001E-2</v>
          </cell>
        </row>
        <row r="65">
          <cell r="A65">
            <v>2.7262999999999999E-2</v>
          </cell>
        </row>
        <row r="66">
          <cell r="A66">
            <v>3.4541000000000002E-2</v>
          </cell>
        </row>
        <row r="67">
          <cell r="A67">
            <v>3.6602000000000003E-2</v>
          </cell>
        </row>
        <row r="68">
          <cell r="A68">
            <v>3.4902000000000002E-2</v>
          </cell>
        </row>
        <row r="69">
          <cell r="A69">
            <v>2.3126000000000001E-2</v>
          </cell>
        </row>
        <row r="70">
          <cell r="A70">
            <v>1.8145999999999999E-2</v>
          </cell>
        </row>
        <row r="71">
          <cell r="A71">
            <v>4.8822999999999998E-2</v>
          </cell>
        </row>
        <row r="72">
          <cell r="A72">
            <v>3.1896000000000001E-2</v>
          </cell>
        </row>
        <row r="73">
          <cell r="A73">
            <v>6.1338999999999998E-2</v>
          </cell>
        </row>
        <row r="74">
          <cell r="A74">
            <v>4.8219999999999999E-2</v>
          </cell>
        </row>
        <row r="75">
          <cell r="A75">
            <v>5.7874000000000002E-2</v>
          </cell>
        </row>
        <row r="76">
          <cell r="A76">
            <v>5.5142999999999998E-2</v>
          </cell>
        </row>
        <row r="77">
          <cell r="A77">
            <v>3.0776000000000001E-2</v>
          </cell>
        </row>
        <row r="78">
          <cell r="A78">
            <v>6.4214999999999994E-2</v>
          </cell>
        </row>
        <row r="79">
          <cell r="A79">
            <v>6.3772999999999996E-2</v>
          </cell>
        </row>
        <row r="80">
          <cell r="A80">
            <v>5.1240000000000001E-2</v>
          </cell>
        </row>
        <row r="81">
          <cell r="A81">
            <v>4.7605000000000001E-2</v>
          </cell>
        </row>
        <row r="82">
          <cell r="A82">
            <v>3.4651000000000001E-2</v>
          </cell>
        </row>
        <row r="83">
          <cell r="A83">
            <v>2.7824999999999999E-2</v>
          </cell>
        </row>
        <row r="84">
          <cell r="A84">
            <v>3.0561999999999999E-2</v>
          </cell>
        </row>
        <row r="85">
          <cell r="A85">
            <v>1.9987999999999999E-2</v>
          </cell>
        </row>
        <row r="86">
          <cell r="A86">
            <v>1.6330999999999998E-2</v>
          </cell>
        </row>
        <row r="87">
          <cell r="A87">
            <v>5.5029000000000002E-2</v>
          </cell>
        </row>
        <row r="88">
          <cell r="A88">
            <v>4.4020999999999998E-2</v>
          </cell>
        </row>
        <row r="89">
          <cell r="A89">
            <v>5.9990000000000002E-2</v>
          </cell>
        </row>
        <row r="90">
          <cell r="A90">
            <v>4.4977000000000003E-2</v>
          </cell>
        </row>
        <row r="91">
          <cell r="A91">
            <v>2.7071000000000001E-2</v>
          </cell>
        </row>
        <row r="92">
          <cell r="A92">
            <v>2.2159000000000002E-2</v>
          </cell>
        </row>
        <row r="93">
          <cell r="A93">
            <v>2.1191000000000002E-2</v>
          </cell>
        </row>
        <row r="94">
          <cell r="A94">
            <v>5.969E-2</v>
          </cell>
        </row>
        <row r="95">
          <cell r="A95">
            <v>2.0379000000000001E-2</v>
          </cell>
        </row>
        <row r="96">
          <cell r="A96">
            <v>6.6153000000000003E-2</v>
          </cell>
        </row>
        <row r="97">
          <cell r="A97">
            <v>5.6533E-2</v>
          </cell>
        </row>
        <row r="98">
          <cell r="A98">
            <v>3.5630000000000002E-2</v>
          </cell>
        </row>
        <row r="99">
          <cell r="A99">
            <v>3.8478999999999999E-2</v>
          </cell>
        </row>
        <row r="100">
          <cell r="A100">
            <v>3.7957999999999999E-2</v>
          </cell>
        </row>
        <row r="101">
          <cell r="A101">
            <v>2.5401E-2</v>
          </cell>
        </row>
        <row r="102">
          <cell r="A102">
            <v>2.2433999999999999E-2</v>
          </cell>
        </row>
        <row r="103">
          <cell r="A103">
            <v>2.0416E-2</v>
          </cell>
        </row>
        <row r="104">
          <cell r="A104">
            <v>3.4442E-2</v>
          </cell>
        </row>
        <row r="105">
          <cell r="A105">
            <v>6.3815999999999998E-2</v>
          </cell>
        </row>
        <row r="106">
          <cell r="A106">
            <v>3.5066E-2</v>
          </cell>
        </row>
        <row r="107">
          <cell r="A107">
            <v>4.4276000000000003E-2</v>
          </cell>
        </row>
        <row r="108">
          <cell r="A108">
            <v>4.5940000000000002E-2</v>
          </cell>
        </row>
        <row r="109">
          <cell r="A109">
            <v>4.4660000000000004E-3</v>
          </cell>
        </row>
        <row r="110">
          <cell r="A110">
            <v>5.3222999999999999E-2</v>
          </cell>
        </row>
        <row r="111">
          <cell r="A111">
            <v>5.4484999999999999E-2</v>
          </cell>
        </row>
        <row r="112">
          <cell r="A112">
            <v>2.8577999999999999E-2</v>
          </cell>
        </row>
        <row r="113">
          <cell r="A113">
            <v>5.0382999999999997E-2</v>
          </cell>
        </row>
        <row r="114">
          <cell r="A114">
            <v>4.1612999999999997E-2</v>
          </cell>
        </row>
        <row r="115">
          <cell r="A115">
            <v>5.2847999999999999E-2</v>
          </cell>
        </row>
        <row r="116">
          <cell r="A116">
            <v>2.469E-2</v>
          </cell>
        </row>
        <row r="117">
          <cell r="A117">
            <v>5.4164999999999998E-2</v>
          </cell>
        </row>
        <row r="118">
          <cell r="A118">
            <v>3.5524E-2</v>
          </cell>
        </row>
        <row r="119">
          <cell r="A119">
            <v>4.6420999999999997E-2</v>
          </cell>
        </row>
        <row r="120">
          <cell r="A120">
            <v>5.4786000000000001E-2</v>
          </cell>
        </row>
        <row r="121">
          <cell r="A121">
            <v>8.6779999999999999E-3</v>
          </cell>
        </row>
        <row r="122">
          <cell r="A122">
            <v>5.4939000000000002E-2</v>
          </cell>
        </row>
        <row r="123">
          <cell r="A123">
            <v>3.1531000000000003E-2</v>
          </cell>
        </row>
        <row r="124">
          <cell r="A124">
            <v>4.7954999999999998E-2</v>
          </cell>
        </row>
        <row r="125">
          <cell r="A125">
            <v>4.2157E-2</v>
          </cell>
        </row>
        <row r="126">
          <cell r="A126">
            <v>5.7023999999999998E-2</v>
          </cell>
        </row>
        <row r="127">
          <cell r="A127">
            <v>5.8006000000000002E-2</v>
          </cell>
        </row>
        <row r="128">
          <cell r="A128">
            <v>5.3573000000000003E-2</v>
          </cell>
        </row>
        <row r="129">
          <cell r="A129">
            <v>5.7225999999999999E-2</v>
          </cell>
        </row>
        <row r="130">
          <cell r="A130">
            <v>5.2866000000000003E-2</v>
          </cell>
        </row>
        <row r="131">
          <cell r="A131">
            <v>5.1309E-2</v>
          </cell>
        </row>
        <row r="132">
          <cell r="A132">
            <v>3.8109999999999998E-2</v>
          </cell>
        </row>
        <row r="133">
          <cell r="A133">
            <v>2.7439999999999999E-2</v>
          </cell>
        </row>
        <row r="134">
          <cell r="A134">
            <v>5.1055000000000003E-2</v>
          </cell>
        </row>
        <row r="135">
          <cell r="A135">
            <v>3.0714000000000002E-2</v>
          </cell>
        </row>
        <row r="136">
          <cell r="A136">
            <v>2.9973E-2</v>
          </cell>
        </row>
        <row r="137">
          <cell r="A137">
            <v>2.9602E-2</v>
          </cell>
        </row>
        <row r="138">
          <cell r="A138">
            <v>3.8051000000000001E-2</v>
          </cell>
        </row>
        <row r="139">
          <cell r="A139">
            <v>5.5855000000000002E-2</v>
          </cell>
        </row>
        <row r="140">
          <cell r="A140">
            <v>3.9439000000000002E-2</v>
          </cell>
        </row>
        <row r="141">
          <cell r="A141">
            <v>2.6786999999999998E-2</v>
          </cell>
        </row>
        <row r="142">
          <cell r="A142">
            <v>3.0797000000000001E-2</v>
          </cell>
        </row>
        <row r="143">
          <cell r="A143">
            <v>3.7908999999999998E-2</v>
          </cell>
        </row>
        <row r="144">
          <cell r="A144">
            <v>3.0658999999999999E-2</v>
          </cell>
        </row>
        <row r="145">
          <cell r="A145">
            <v>7.339E-3</v>
          </cell>
        </row>
        <row r="146">
          <cell r="A146">
            <v>3.1361E-2</v>
          </cell>
        </row>
        <row r="147">
          <cell r="A147">
            <v>4.3451999999999998E-2</v>
          </cell>
        </row>
        <row r="148">
          <cell r="A148">
            <v>3.9121000000000003E-2</v>
          </cell>
        </row>
        <row r="149">
          <cell r="A149">
            <v>5.1179000000000002E-2</v>
          </cell>
        </row>
        <row r="150">
          <cell r="A150">
            <v>4.7194E-2</v>
          </cell>
        </row>
        <row r="151">
          <cell r="A151">
            <v>3.9146E-2</v>
          </cell>
        </row>
        <row r="152">
          <cell r="A152">
            <v>2.5506000000000001E-2</v>
          </cell>
        </row>
        <row r="153">
          <cell r="A153">
            <v>4.0126000000000002E-2</v>
          </cell>
        </row>
        <row r="154">
          <cell r="A154">
            <v>2.7179999999999999E-2</v>
          </cell>
        </row>
        <row r="155">
          <cell r="A155">
            <v>4.5408999999999998E-2</v>
          </cell>
        </row>
        <row r="156">
          <cell r="A156">
            <v>5.0859000000000001E-2</v>
          </cell>
        </row>
        <row r="157">
          <cell r="A157">
            <v>6.3963000000000006E-2</v>
          </cell>
        </row>
        <row r="158">
          <cell r="A158">
            <v>3.8064000000000001E-2</v>
          </cell>
        </row>
        <row r="159">
          <cell r="A159">
            <v>2.6388000000000002E-2</v>
          </cell>
        </row>
        <row r="160">
          <cell r="A160">
            <v>4.1267999999999999E-2</v>
          </cell>
        </row>
        <row r="161">
          <cell r="A161">
            <v>3.9016000000000002E-2</v>
          </cell>
        </row>
        <row r="162">
          <cell r="A162">
            <v>2.9418E-2</v>
          </cell>
        </row>
        <row r="163">
          <cell r="A163">
            <v>4.1037999999999998E-2</v>
          </cell>
        </row>
        <row r="164">
          <cell r="A164">
            <v>3.1565000000000003E-2</v>
          </cell>
        </row>
        <row r="165">
          <cell r="A165">
            <v>2.5659999999999999E-2</v>
          </cell>
        </row>
        <row r="166">
          <cell r="A166">
            <v>1.0295E-2</v>
          </cell>
        </row>
        <row r="167">
          <cell r="A167">
            <v>3.6505999999999997E-2</v>
          </cell>
        </row>
        <row r="168">
          <cell r="A168">
            <v>5.9197E-2</v>
          </cell>
        </row>
        <row r="169">
          <cell r="A169">
            <v>4.3083999999999997E-2</v>
          </cell>
        </row>
        <row r="170">
          <cell r="A170">
            <v>2.9312000000000001E-2</v>
          </cell>
        </row>
        <row r="171">
          <cell r="A171">
            <v>5.4549E-2</v>
          </cell>
        </row>
        <row r="172">
          <cell r="A172">
            <v>3.6936999999999998E-2</v>
          </cell>
        </row>
        <row r="173">
          <cell r="A173">
            <v>2.5883E-2</v>
          </cell>
        </row>
        <row r="174">
          <cell r="A174">
            <v>2.0719000000000001E-2</v>
          </cell>
        </row>
        <row r="175">
          <cell r="A175">
            <v>1.9082999999999999E-2</v>
          </cell>
        </row>
        <row r="176">
          <cell r="A176">
            <v>2.811E-2</v>
          </cell>
        </row>
        <row r="177">
          <cell r="A177">
            <v>3.4782E-2</v>
          </cell>
        </row>
        <row r="178">
          <cell r="A178">
            <v>2.2624999999999999E-2</v>
          </cell>
        </row>
        <row r="179">
          <cell r="A179">
            <v>4.4875999999999999E-2</v>
          </cell>
        </row>
        <row r="180">
          <cell r="A180">
            <v>4.7198999999999998E-2</v>
          </cell>
        </row>
        <row r="181">
          <cell r="A181">
            <v>3.0214999999999999E-2</v>
          </cell>
        </row>
        <row r="182">
          <cell r="A182">
            <v>3.6443000000000003E-2</v>
          </cell>
        </row>
        <row r="183">
          <cell r="A183">
            <v>5.4646E-2</v>
          </cell>
        </row>
        <row r="184">
          <cell r="A184">
            <v>4.0201000000000001E-2</v>
          </cell>
        </row>
        <row r="185">
          <cell r="A185">
            <v>5.2128000000000001E-2</v>
          </cell>
        </row>
        <row r="186">
          <cell r="A186">
            <v>3.4582000000000002E-2</v>
          </cell>
        </row>
        <row r="187">
          <cell r="A187">
            <v>5.5439000000000002E-2</v>
          </cell>
        </row>
        <row r="188">
          <cell r="A188">
            <v>3.6630000000000003E-2</v>
          </cell>
        </row>
        <row r="189">
          <cell r="A189">
            <v>4.6435999999999998E-2</v>
          </cell>
        </row>
        <row r="190">
          <cell r="A190">
            <v>3.2523999999999997E-2</v>
          </cell>
        </row>
        <row r="191">
          <cell r="A191">
            <v>3.5207000000000002E-2</v>
          </cell>
        </row>
        <row r="192">
          <cell r="A192">
            <v>4.6053999999999998E-2</v>
          </cell>
        </row>
        <row r="193">
          <cell r="A193">
            <v>2.9559999999999999E-2</v>
          </cell>
        </row>
        <row r="194">
          <cell r="A194">
            <v>7.1809999999999999E-3</v>
          </cell>
        </row>
        <row r="195">
          <cell r="A195">
            <v>4.2883999999999999E-2</v>
          </cell>
        </row>
        <row r="196">
          <cell r="A196">
            <v>4.7833000000000001E-2</v>
          </cell>
        </row>
        <row r="197">
          <cell r="A197">
            <v>2.2214000000000001E-2</v>
          </cell>
        </row>
        <row r="198">
          <cell r="A198">
            <v>1.7389999999999999E-2</v>
          </cell>
        </row>
        <row r="199">
          <cell r="A199">
            <v>3.9768999999999999E-2</v>
          </cell>
        </row>
        <row r="200">
          <cell r="A200">
            <v>1.6938000000000002E-2</v>
          </cell>
        </row>
        <row r="201">
          <cell r="A201">
            <v>2.4902000000000001E-2</v>
          </cell>
        </row>
        <row r="202">
          <cell r="A202">
            <v>4.2084999999999997E-2</v>
          </cell>
        </row>
        <row r="203">
          <cell r="A203">
            <v>4.7612000000000002E-2</v>
          </cell>
        </row>
        <row r="204">
          <cell r="A204">
            <v>2.2721999999999999E-2</v>
          </cell>
        </row>
        <row r="205">
          <cell r="A205">
            <v>5.0543999999999999E-2</v>
          </cell>
        </row>
        <row r="206">
          <cell r="A206">
            <v>3.6400000000000002E-2</v>
          </cell>
        </row>
        <row r="207">
          <cell r="A207">
            <v>4.2293999999999998E-2</v>
          </cell>
        </row>
        <row r="208">
          <cell r="A208">
            <v>4.2438999999999998E-2</v>
          </cell>
        </row>
        <row r="209">
          <cell r="A209">
            <v>4.7484999999999999E-2</v>
          </cell>
        </row>
        <row r="210">
          <cell r="A210">
            <v>8.2170000000000003E-3</v>
          </cell>
        </row>
        <row r="211">
          <cell r="A211">
            <v>4.7911000000000002E-2</v>
          </cell>
        </row>
        <row r="212">
          <cell r="A212">
            <v>2.3888E-2</v>
          </cell>
        </row>
        <row r="213">
          <cell r="A213">
            <v>1.8380000000000001E-2</v>
          </cell>
        </row>
        <row r="214">
          <cell r="A214">
            <v>2.5408E-2</v>
          </cell>
        </row>
        <row r="215">
          <cell r="A215">
            <v>5.3185999999999997E-2</v>
          </cell>
        </row>
        <row r="216">
          <cell r="A216">
            <v>2.5162E-2</v>
          </cell>
        </row>
        <row r="217">
          <cell r="A217">
            <v>4.0939999999999997E-2</v>
          </cell>
        </row>
        <row r="218">
          <cell r="A218">
            <v>4.3896999999999999E-2</v>
          </cell>
        </row>
        <row r="219">
          <cell r="A219">
            <v>4.5575999999999998E-2</v>
          </cell>
        </row>
        <row r="220">
          <cell r="A220">
            <v>3.2558999999999998E-2</v>
          </cell>
        </row>
        <row r="221">
          <cell r="A221">
            <v>2.4660999999999999E-2</v>
          </cell>
        </row>
        <row r="222">
          <cell r="A222">
            <v>3.9054999999999999E-2</v>
          </cell>
        </row>
        <row r="223">
          <cell r="A223">
            <v>4.3964999999999997E-2</v>
          </cell>
        </row>
        <row r="224">
          <cell r="A224">
            <v>1.9875E-2</v>
          </cell>
        </row>
        <row r="225">
          <cell r="A225">
            <v>4.1124000000000001E-2</v>
          </cell>
        </row>
        <row r="226">
          <cell r="A226">
            <v>3.1841000000000001E-2</v>
          </cell>
        </row>
        <row r="227">
          <cell r="A227">
            <v>4.1577999999999997E-2</v>
          </cell>
        </row>
        <row r="228">
          <cell r="A228">
            <v>9.1000000000000004E-3</v>
          </cell>
        </row>
        <row r="229">
          <cell r="A229">
            <v>3.1972E-2</v>
          </cell>
        </row>
        <row r="230">
          <cell r="A230">
            <v>3.3404000000000003E-2</v>
          </cell>
        </row>
        <row r="231">
          <cell r="A231">
            <v>1.8341E-2</v>
          </cell>
        </row>
        <row r="232">
          <cell r="A232">
            <v>4.4333999999999998E-2</v>
          </cell>
        </row>
        <row r="233">
          <cell r="A233">
            <v>4.1287999999999998E-2</v>
          </cell>
        </row>
        <row r="234">
          <cell r="A234">
            <v>3.5928000000000002E-2</v>
          </cell>
        </row>
        <row r="235">
          <cell r="A235">
            <v>1.7319999999999999E-2</v>
          </cell>
        </row>
        <row r="236">
          <cell r="A236">
            <v>2.4573999999999999E-2</v>
          </cell>
        </row>
        <row r="237">
          <cell r="A237">
            <v>2.1738E-2</v>
          </cell>
        </row>
        <row r="238">
          <cell r="A238">
            <v>4.6059999999999997E-2</v>
          </cell>
        </row>
        <row r="239">
          <cell r="A239">
            <v>3.0665999999999999E-2</v>
          </cell>
        </row>
        <row r="240">
          <cell r="A240">
            <v>4.1209000000000003E-2</v>
          </cell>
        </row>
        <row r="241">
          <cell r="A241">
            <v>3.4069999999999999E-3</v>
          </cell>
        </row>
        <row r="242">
          <cell r="A242">
            <v>2.6218000000000002E-2</v>
          </cell>
        </row>
        <row r="243">
          <cell r="A243">
            <v>1.6403999999999998E-2</v>
          </cell>
        </row>
        <row r="244">
          <cell r="A244">
            <v>1.9161999999999998E-2</v>
          </cell>
        </row>
        <row r="245">
          <cell r="A245">
            <v>1.7052000000000001E-2</v>
          </cell>
        </row>
        <row r="246">
          <cell r="A246">
            <v>2.9871999999999999E-2</v>
          </cell>
        </row>
        <row r="247">
          <cell r="A247">
            <v>3.3376000000000003E-2</v>
          </cell>
        </row>
        <row r="248">
          <cell r="A248">
            <v>2.4740999999999999E-2</v>
          </cell>
        </row>
        <row r="249">
          <cell r="A249">
            <v>2.0749E-2</v>
          </cell>
        </row>
        <row r="250">
          <cell r="A250">
            <v>2.6454999999999999E-2</v>
          </cell>
        </row>
        <row r="251">
          <cell r="A251">
            <v>1.7392000000000001E-2</v>
          </cell>
        </row>
        <row r="252">
          <cell r="A252">
            <v>4.2349999999999999E-2</v>
          </cell>
        </row>
        <row r="253">
          <cell r="A253">
            <v>4.8764000000000002E-2</v>
          </cell>
        </row>
        <row r="254">
          <cell r="A254">
            <v>2.1170000000000001E-2</v>
          </cell>
        </row>
        <row r="255">
          <cell r="A255">
            <v>2.0402E-2</v>
          </cell>
        </row>
        <row r="256">
          <cell r="A256">
            <v>3.0745999999999999E-2</v>
          </cell>
        </row>
        <row r="257">
          <cell r="A257">
            <v>4.2186000000000001E-2</v>
          </cell>
        </row>
        <row r="258">
          <cell r="A258">
            <v>3.1994000000000002E-2</v>
          </cell>
        </row>
        <row r="259">
          <cell r="A259">
            <v>2.3656E-2</v>
          </cell>
        </row>
        <row r="260">
          <cell r="A260">
            <v>1.7814E-2</v>
          </cell>
        </row>
        <row r="261">
          <cell r="A261">
            <v>2.2714000000000002E-2</v>
          </cell>
        </row>
        <row r="262">
          <cell r="A262">
            <v>4.0001000000000002E-2</v>
          </cell>
        </row>
        <row r="263">
          <cell r="A263">
            <v>4.9362999999999997E-2</v>
          </cell>
        </row>
        <row r="264">
          <cell r="A264">
            <v>4.0184999999999998E-2</v>
          </cell>
        </row>
        <row r="265">
          <cell r="A265">
            <v>9.5119999999999996E-3</v>
          </cell>
        </row>
        <row r="266">
          <cell r="A266">
            <v>2.3990999999999998E-2</v>
          </cell>
        </row>
        <row r="267">
          <cell r="A267">
            <v>3.9565000000000003E-2</v>
          </cell>
        </row>
        <row r="268">
          <cell r="A268">
            <v>3.6253000000000001E-2</v>
          </cell>
        </row>
        <row r="269">
          <cell r="A269">
            <v>2.3623000000000002E-2</v>
          </cell>
        </row>
        <row r="270">
          <cell r="A270">
            <v>2.4537E-2</v>
          </cell>
        </row>
        <row r="271">
          <cell r="A271">
            <v>2.375E-2</v>
          </cell>
        </row>
        <row r="272">
          <cell r="A272">
            <v>2.682E-2</v>
          </cell>
        </row>
        <row r="273">
          <cell r="A273">
            <v>4.0224999999999997E-2</v>
          </cell>
        </row>
        <row r="274">
          <cell r="A274">
            <v>4.1780999999999999E-2</v>
          </cell>
        </row>
        <row r="275">
          <cell r="A275">
            <v>4.2116000000000001E-2</v>
          </cell>
        </row>
        <row r="276">
          <cell r="A276">
            <v>1.6424999999999999E-2</v>
          </cell>
        </row>
        <row r="277">
          <cell r="A277">
            <v>3.1967000000000002E-2</v>
          </cell>
        </row>
        <row r="278">
          <cell r="A278">
            <v>9.6620000000000004E-3</v>
          </cell>
        </row>
        <row r="279">
          <cell r="A279">
            <v>3.6724E-2</v>
          </cell>
        </row>
        <row r="280">
          <cell r="A280">
            <v>3.8280000000000002E-2</v>
          </cell>
        </row>
        <row r="281">
          <cell r="A281">
            <v>3.7317000000000003E-2</v>
          </cell>
        </row>
        <row r="282">
          <cell r="A282">
            <v>2.2615E-2</v>
          </cell>
        </row>
        <row r="283">
          <cell r="A283">
            <v>4.2353000000000002E-2</v>
          </cell>
        </row>
        <row r="284">
          <cell r="A284">
            <v>3.2164999999999999E-2</v>
          </cell>
        </row>
        <row r="285">
          <cell r="A285">
            <v>3.6179000000000003E-2</v>
          </cell>
        </row>
        <row r="286">
          <cell r="A286">
            <v>3.9578000000000002E-2</v>
          </cell>
        </row>
        <row r="287">
          <cell r="A287">
            <v>4.6535E-2</v>
          </cell>
        </row>
        <row r="288">
          <cell r="A288">
            <v>1.2017999999999999E-2</v>
          </cell>
        </row>
        <row r="289">
          <cell r="A289">
            <v>3.1876000000000002E-2</v>
          </cell>
        </row>
        <row r="290">
          <cell r="A290">
            <v>4.0441999999999999E-2</v>
          </cell>
        </row>
        <row r="291">
          <cell r="A291">
            <v>2.4773E-2</v>
          </cell>
        </row>
        <row r="292">
          <cell r="A292">
            <v>2.8785000000000002E-2</v>
          </cell>
        </row>
        <row r="293">
          <cell r="A293">
            <v>4.7432000000000002E-2</v>
          </cell>
        </row>
        <row r="294">
          <cell r="A294">
            <v>1.6525000000000001E-2</v>
          </cell>
        </row>
        <row r="295">
          <cell r="A295">
            <v>4.2888000000000003E-2</v>
          </cell>
        </row>
        <row r="296">
          <cell r="A296">
            <v>4.6871999999999997E-2</v>
          </cell>
        </row>
        <row r="297">
          <cell r="A297">
            <v>3.4688999999999998E-2</v>
          </cell>
        </row>
        <row r="298">
          <cell r="A298">
            <v>2.4896999999999999E-2</v>
          </cell>
        </row>
        <row r="299">
          <cell r="A299">
            <v>5.3737E-2</v>
          </cell>
        </row>
        <row r="300">
          <cell r="A300">
            <v>4.5585000000000001E-2</v>
          </cell>
        </row>
        <row r="301">
          <cell r="A301">
            <v>2.9357999999999999E-2</v>
          </cell>
        </row>
        <row r="302">
          <cell r="A302">
            <v>3.3945000000000003E-2</v>
          </cell>
        </row>
        <row r="303">
          <cell r="A303">
            <v>3.4264000000000003E-2</v>
          </cell>
        </row>
        <row r="304">
          <cell r="A304">
            <v>2.8819999999999998E-2</v>
          </cell>
        </row>
        <row r="305">
          <cell r="A305">
            <v>3.9084000000000001E-2</v>
          </cell>
        </row>
        <row r="306">
          <cell r="A306">
            <v>7.8220000000000008E-3</v>
          </cell>
        </row>
        <row r="307">
          <cell r="A307">
            <v>5.1573000000000001E-2</v>
          </cell>
        </row>
        <row r="308">
          <cell r="A308">
            <v>3.1417E-2</v>
          </cell>
        </row>
        <row r="309">
          <cell r="A309">
            <v>4.1048000000000001E-2</v>
          </cell>
        </row>
        <row r="310">
          <cell r="A310">
            <v>1.8124999999999999E-2</v>
          </cell>
        </row>
        <row r="311">
          <cell r="A311">
            <v>1.8527999999999999E-2</v>
          </cell>
        </row>
        <row r="312">
          <cell r="A312">
            <v>3.1393999999999998E-2</v>
          </cell>
        </row>
        <row r="313">
          <cell r="A313">
            <v>5.1014999999999998E-2</v>
          </cell>
        </row>
        <row r="314">
          <cell r="A314">
            <v>2.8826999999999998E-2</v>
          </cell>
        </row>
        <row r="315">
          <cell r="A315">
            <v>2.3036999999999998E-2</v>
          </cell>
        </row>
        <row r="316">
          <cell r="A316">
            <v>1.7179E-2</v>
          </cell>
        </row>
        <row r="317">
          <cell r="A317">
            <v>1.4461E-2</v>
          </cell>
        </row>
        <row r="318">
          <cell r="A318">
            <v>2.1308000000000001E-2</v>
          </cell>
        </row>
        <row r="319">
          <cell r="A319">
            <v>1.3481999999999999E-2</v>
          </cell>
        </row>
        <row r="320">
          <cell r="A320">
            <v>2.2842000000000001E-2</v>
          </cell>
        </row>
        <row r="321">
          <cell r="A321">
            <v>3.5217999999999999E-2</v>
          </cell>
        </row>
        <row r="322">
          <cell r="A322">
            <v>3.2133000000000002E-2</v>
          </cell>
        </row>
        <row r="323">
          <cell r="A323">
            <v>3.2434999999999999E-2</v>
          </cell>
        </row>
        <row r="324">
          <cell r="A324">
            <v>4.1681000000000003E-2</v>
          </cell>
        </row>
        <row r="325">
          <cell r="A325">
            <v>4.7225000000000003E-2</v>
          </cell>
        </row>
        <row r="326">
          <cell r="A326">
            <v>3.3999000000000001E-2</v>
          </cell>
        </row>
        <row r="327">
          <cell r="A327">
            <v>1.9269000000000001E-2</v>
          </cell>
        </row>
        <row r="328">
          <cell r="A328">
            <v>9.3640000000000008E-3</v>
          </cell>
        </row>
        <row r="329">
          <cell r="A329">
            <v>3.1022999999999998E-2</v>
          </cell>
        </row>
        <row r="330">
          <cell r="A330">
            <v>1.8776000000000001E-2</v>
          </cell>
        </row>
        <row r="331">
          <cell r="A331">
            <v>1.864E-2</v>
          </cell>
        </row>
        <row r="332">
          <cell r="A332">
            <v>7.3980000000000001E-3</v>
          </cell>
        </row>
        <row r="333">
          <cell r="A333">
            <v>3.0967999999999999E-2</v>
          </cell>
        </row>
        <row r="334">
          <cell r="A334">
            <v>4.1517999999999999E-2</v>
          </cell>
        </row>
        <row r="335">
          <cell r="A335">
            <v>1.8658000000000001E-2</v>
          </cell>
        </row>
        <row r="336">
          <cell r="A336">
            <v>2.8063999999999999E-2</v>
          </cell>
        </row>
        <row r="337">
          <cell r="A337">
            <v>3.5598999999999999E-2</v>
          </cell>
        </row>
        <row r="338">
          <cell r="A338">
            <v>3.6879000000000002E-2</v>
          </cell>
        </row>
        <row r="339">
          <cell r="A339">
            <v>2.2542E-2</v>
          </cell>
        </row>
        <row r="340">
          <cell r="A340">
            <v>3.7113E-2</v>
          </cell>
        </row>
        <row r="341">
          <cell r="A341">
            <v>3.6096000000000003E-2</v>
          </cell>
        </row>
        <row r="342">
          <cell r="A342">
            <v>3.6991000000000003E-2</v>
          </cell>
        </row>
        <row r="343">
          <cell r="A343">
            <v>3.9676000000000003E-2</v>
          </cell>
        </row>
        <row r="344">
          <cell r="A344">
            <v>2.5277000000000001E-2</v>
          </cell>
        </row>
        <row r="345">
          <cell r="A345">
            <v>4.4381999999999998E-2</v>
          </cell>
        </row>
        <row r="346">
          <cell r="A346">
            <v>9.7599999999999996E-3</v>
          </cell>
        </row>
        <row r="347">
          <cell r="A347">
            <v>2.9803E-2</v>
          </cell>
        </row>
        <row r="348">
          <cell r="A348">
            <v>1.6420000000000001E-2</v>
          </cell>
        </row>
        <row r="349">
          <cell r="A349">
            <v>1.6275999999999999E-2</v>
          </cell>
        </row>
        <row r="350">
          <cell r="A350">
            <v>3.4504E-2</v>
          </cell>
        </row>
        <row r="351">
          <cell r="A351">
            <v>1.9755000000000002E-2</v>
          </cell>
        </row>
        <row r="352">
          <cell r="A352">
            <v>3.1670999999999998E-2</v>
          </cell>
        </row>
        <row r="353">
          <cell r="A353">
            <v>3.9733999999999998E-2</v>
          </cell>
        </row>
        <row r="354">
          <cell r="A354">
            <v>1.3642E-2</v>
          </cell>
        </row>
        <row r="355">
          <cell r="A355">
            <v>3.1476999999999998E-2</v>
          </cell>
        </row>
        <row r="356">
          <cell r="A356">
            <v>2.2289E-2</v>
          </cell>
        </row>
        <row r="357">
          <cell r="A357">
            <v>3.7463000000000003E-2</v>
          </cell>
        </row>
        <row r="358">
          <cell r="A358">
            <v>2.4323000000000001E-2</v>
          </cell>
        </row>
        <row r="359">
          <cell r="A359">
            <v>2.1232000000000001E-2</v>
          </cell>
        </row>
        <row r="360">
          <cell r="A360">
            <v>3.5916999999999998E-2</v>
          </cell>
        </row>
        <row r="361">
          <cell r="A361">
            <v>3.8731000000000002E-2</v>
          </cell>
        </row>
        <row r="362">
          <cell r="A362">
            <v>3.2336999999999998E-2</v>
          </cell>
        </row>
        <row r="363">
          <cell r="A363">
            <v>1.2295E-2</v>
          </cell>
        </row>
        <row r="364">
          <cell r="A364">
            <v>2.9219999999999999E-2</v>
          </cell>
        </row>
        <row r="365">
          <cell r="A365">
            <v>2.767E-2</v>
          </cell>
        </row>
        <row r="366">
          <cell r="A366">
            <v>1.4493000000000001E-2</v>
          </cell>
        </row>
        <row r="367">
          <cell r="A367">
            <v>4.7116999999999999E-2</v>
          </cell>
        </row>
        <row r="368">
          <cell r="A368">
            <v>1.857E-2</v>
          </cell>
        </row>
        <row r="369">
          <cell r="A369">
            <v>3.7560999999999997E-2</v>
          </cell>
        </row>
        <row r="370">
          <cell r="A370">
            <v>1.3491E-2</v>
          </cell>
        </row>
        <row r="371">
          <cell r="A371">
            <v>2.1419000000000001E-2</v>
          </cell>
        </row>
        <row r="372">
          <cell r="A372">
            <v>1.7474E-2</v>
          </cell>
        </row>
        <row r="373">
          <cell r="A373">
            <v>1.934E-2</v>
          </cell>
        </row>
        <row r="374">
          <cell r="A374">
            <v>1.1195E-2</v>
          </cell>
        </row>
        <row r="375">
          <cell r="A375">
            <v>3.3723000000000003E-2</v>
          </cell>
        </row>
        <row r="376">
          <cell r="A376">
            <v>4.1586999999999999E-2</v>
          </cell>
        </row>
        <row r="377">
          <cell r="A377">
            <v>3.6093E-2</v>
          </cell>
        </row>
        <row r="378">
          <cell r="A378">
            <v>1.6633999999999999E-2</v>
          </cell>
        </row>
        <row r="379">
          <cell r="A379">
            <v>2.8832E-2</v>
          </cell>
        </row>
        <row r="380">
          <cell r="A380">
            <v>3.8405000000000002E-2</v>
          </cell>
        </row>
        <row r="381">
          <cell r="A381">
            <v>3.7529E-2</v>
          </cell>
        </row>
        <row r="382">
          <cell r="A382">
            <v>2.6159000000000002E-2</v>
          </cell>
        </row>
        <row r="383">
          <cell r="A383">
            <v>1.4524E-2</v>
          </cell>
        </row>
        <row r="384">
          <cell r="A384">
            <v>2.0337999999999998E-2</v>
          </cell>
        </row>
        <row r="385">
          <cell r="A385">
            <v>3.1546999999999999E-2</v>
          </cell>
        </row>
        <row r="386">
          <cell r="A386">
            <v>1.4536E-2</v>
          </cell>
        </row>
        <row r="387">
          <cell r="A387">
            <v>2.2586999999999999E-2</v>
          </cell>
        </row>
        <row r="388">
          <cell r="A388">
            <v>2.8077999999999999E-2</v>
          </cell>
        </row>
        <row r="389">
          <cell r="A389">
            <v>3.1819E-2</v>
          </cell>
        </row>
        <row r="390">
          <cell r="A390">
            <v>3.0061000000000001E-2</v>
          </cell>
        </row>
        <row r="391">
          <cell r="A391">
            <v>4.3444000000000003E-2</v>
          </cell>
        </row>
        <row r="392">
          <cell r="A392">
            <v>1.7857000000000001E-2</v>
          </cell>
        </row>
        <row r="393">
          <cell r="A393">
            <v>4.0124E-2</v>
          </cell>
        </row>
        <row r="394">
          <cell r="A394">
            <v>4.2471000000000002E-2</v>
          </cell>
        </row>
        <row r="395">
          <cell r="A395">
            <v>4.1183999999999998E-2</v>
          </cell>
        </row>
        <row r="396">
          <cell r="A396">
            <v>3.4923000000000003E-2</v>
          </cell>
        </row>
        <row r="397">
          <cell r="A397">
            <v>1.3878E-2</v>
          </cell>
        </row>
        <row r="398">
          <cell r="A398">
            <v>3.8823999999999997E-2</v>
          </cell>
        </row>
        <row r="399">
          <cell r="A399">
            <v>3.0744E-2</v>
          </cell>
        </row>
        <row r="400">
          <cell r="A400">
            <v>2.3220000000000001E-2</v>
          </cell>
        </row>
        <row r="401">
          <cell r="A401">
            <v>2.6866000000000001E-2</v>
          </cell>
        </row>
        <row r="402">
          <cell r="A402">
            <v>1.6657999999999999E-2</v>
          </cell>
        </row>
        <row r="403">
          <cell r="A403">
            <v>1.7683999999999998E-2</v>
          </cell>
        </row>
        <row r="404">
          <cell r="A404">
            <v>2.2342999999999998E-2</v>
          </cell>
        </row>
        <row r="405">
          <cell r="A405">
            <v>4.3489E-2</v>
          </cell>
        </row>
        <row r="406">
          <cell r="A406">
            <v>1.4933E-2</v>
          </cell>
        </row>
        <row r="407">
          <cell r="A407">
            <v>4.8948999999999999E-2</v>
          </cell>
        </row>
        <row r="408">
          <cell r="A408">
            <v>2.835E-2</v>
          </cell>
        </row>
        <row r="409">
          <cell r="A409">
            <v>3.0554000000000001E-2</v>
          </cell>
        </row>
        <row r="410">
          <cell r="A410">
            <v>4.0903000000000002E-2</v>
          </cell>
        </row>
        <row r="411">
          <cell r="A411">
            <v>3.6213000000000002E-2</v>
          </cell>
        </row>
        <row r="412">
          <cell r="A412">
            <v>3.4699000000000001E-2</v>
          </cell>
        </row>
        <row r="413">
          <cell r="A413">
            <v>3.7347999999999999E-2</v>
          </cell>
        </row>
        <row r="414">
          <cell r="A414">
            <v>2.5957999999999998E-2</v>
          </cell>
        </row>
        <row r="415">
          <cell r="A415">
            <v>3.0595000000000001E-2</v>
          </cell>
        </row>
        <row r="416">
          <cell r="A416">
            <v>1.4229E-2</v>
          </cell>
        </row>
        <row r="417">
          <cell r="A417">
            <v>2.5159999999999998E-2</v>
          </cell>
        </row>
        <row r="418">
          <cell r="A418">
            <v>3.1295999999999997E-2</v>
          </cell>
        </row>
        <row r="419">
          <cell r="A419">
            <v>2.3165000000000002E-2</v>
          </cell>
        </row>
        <row r="420">
          <cell r="A420">
            <v>1.3658999999999999E-2</v>
          </cell>
        </row>
        <row r="421">
          <cell r="A421">
            <v>3.7303999999999997E-2</v>
          </cell>
        </row>
        <row r="422">
          <cell r="A422">
            <v>8.8789999999999997E-3</v>
          </cell>
        </row>
        <row r="423">
          <cell r="A423">
            <v>2.9565000000000001E-2</v>
          </cell>
        </row>
        <row r="424">
          <cell r="A424">
            <v>3.0515E-2</v>
          </cell>
        </row>
        <row r="425">
          <cell r="A425">
            <v>3.4381000000000002E-2</v>
          </cell>
        </row>
        <row r="426">
          <cell r="A426">
            <v>1.6449999999999999E-2</v>
          </cell>
        </row>
        <row r="427">
          <cell r="A427">
            <v>3.4136E-2</v>
          </cell>
        </row>
        <row r="428">
          <cell r="A428">
            <v>1.4897000000000001E-2</v>
          </cell>
        </row>
        <row r="429">
          <cell r="A429">
            <v>2.4485E-2</v>
          </cell>
        </row>
        <row r="430">
          <cell r="A430">
            <v>2.2741999999999998E-2</v>
          </cell>
        </row>
        <row r="431">
          <cell r="A431">
            <v>3.4195000000000003E-2</v>
          </cell>
        </row>
        <row r="432">
          <cell r="A432">
            <v>1.5117E-2</v>
          </cell>
        </row>
        <row r="433">
          <cell r="A433">
            <v>4.3665000000000002E-2</v>
          </cell>
        </row>
        <row r="434">
          <cell r="A434">
            <v>3.6399000000000001E-2</v>
          </cell>
        </row>
        <row r="435">
          <cell r="A435">
            <v>2.7605999999999999E-2</v>
          </cell>
        </row>
        <row r="436">
          <cell r="A436">
            <v>2.4493000000000001E-2</v>
          </cell>
        </row>
        <row r="437">
          <cell r="A437">
            <v>3.4902000000000002E-2</v>
          </cell>
        </row>
        <row r="438">
          <cell r="A438">
            <v>3.5763999999999997E-2</v>
          </cell>
        </row>
        <row r="439">
          <cell r="A439">
            <v>1.6698999999999999E-2</v>
          </cell>
        </row>
        <row r="440">
          <cell r="A440">
            <v>3.2636999999999999E-2</v>
          </cell>
        </row>
        <row r="441">
          <cell r="A441">
            <v>3.0851E-2</v>
          </cell>
        </row>
        <row r="442">
          <cell r="A442">
            <v>1.1297E-2</v>
          </cell>
        </row>
        <row r="443">
          <cell r="A443">
            <v>2.3227000000000001E-2</v>
          </cell>
        </row>
        <row r="444">
          <cell r="A444">
            <v>1.7964999999999998E-2</v>
          </cell>
        </row>
        <row r="445">
          <cell r="A445">
            <v>3.4238999999999999E-2</v>
          </cell>
        </row>
        <row r="446">
          <cell r="A446">
            <v>3.7760000000000002E-2</v>
          </cell>
        </row>
        <row r="447">
          <cell r="A447">
            <v>1.0788000000000001E-2</v>
          </cell>
        </row>
        <row r="448">
          <cell r="A448">
            <v>3.177E-2</v>
          </cell>
        </row>
        <row r="449">
          <cell r="A449">
            <v>3.3656999999999999E-2</v>
          </cell>
        </row>
        <row r="450">
          <cell r="A450">
            <v>1.4878000000000001E-2</v>
          </cell>
        </row>
        <row r="451">
          <cell r="A451">
            <v>1.5002E-2</v>
          </cell>
        </row>
        <row r="452">
          <cell r="A452">
            <v>2.7761999999999998E-2</v>
          </cell>
        </row>
        <row r="453">
          <cell r="A453">
            <v>2.2721000000000002E-2</v>
          </cell>
        </row>
        <row r="454">
          <cell r="A454">
            <v>1.4017999999999999E-2</v>
          </cell>
        </row>
        <row r="455">
          <cell r="A455">
            <v>8.234E-3</v>
          </cell>
        </row>
        <row r="456">
          <cell r="A456">
            <v>3.4451000000000002E-2</v>
          </cell>
        </row>
        <row r="457">
          <cell r="A457">
            <v>3.5052E-2</v>
          </cell>
        </row>
        <row r="458">
          <cell r="A458">
            <v>2.1211000000000001E-2</v>
          </cell>
        </row>
        <row r="459">
          <cell r="A459">
            <v>1.324E-2</v>
          </cell>
        </row>
        <row r="460">
          <cell r="A460">
            <v>2.6623000000000001E-2</v>
          </cell>
        </row>
        <row r="461">
          <cell r="A461">
            <v>1.7415E-2</v>
          </cell>
        </row>
        <row r="462">
          <cell r="A462">
            <v>3.9042E-2</v>
          </cell>
        </row>
        <row r="463">
          <cell r="A463">
            <v>4.2855999999999998E-2</v>
          </cell>
        </row>
        <row r="464">
          <cell r="A464">
            <v>1.908E-2</v>
          </cell>
        </row>
        <row r="465">
          <cell r="A465">
            <v>3.3550000000000003E-2</v>
          </cell>
        </row>
        <row r="466">
          <cell r="A466">
            <v>2.3805E-2</v>
          </cell>
        </row>
        <row r="467">
          <cell r="A467">
            <v>7.8609999999999999E-3</v>
          </cell>
        </row>
        <row r="468">
          <cell r="A468">
            <v>3.1717000000000002E-2</v>
          </cell>
        </row>
        <row r="469">
          <cell r="A469">
            <v>1.5002E-2</v>
          </cell>
        </row>
        <row r="470">
          <cell r="A470">
            <v>1.9282000000000001E-2</v>
          </cell>
        </row>
        <row r="471">
          <cell r="A471">
            <v>3.0816E-2</v>
          </cell>
        </row>
        <row r="472">
          <cell r="A472">
            <v>3.9266000000000002E-2</v>
          </cell>
        </row>
        <row r="473">
          <cell r="A473">
            <v>1.2799E-2</v>
          </cell>
        </row>
        <row r="474">
          <cell r="A474">
            <v>2.3741999999999999E-2</v>
          </cell>
        </row>
        <row r="475">
          <cell r="A475">
            <v>2.1347000000000001E-2</v>
          </cell>
        </row>
        <row r="476">
          <cell r="A476">
            <v>1.6094000000000001E-2</v>
          </cell>
        </row>
        <row r="477">
          <cell r="A477">
            <v>2.8708000000000001E-2</v>
          </cell>
        </row>
        <row r="478">
          <cell r="A478">
            <v>3.6165000000000003E-2</v>
          </cell>
        </row>
        <row r="479">
          <cell r="A479">
            <v>3.1768999999999999E-2</v>
          </cell>
        </row>
        <row r="480">
          <cell r="A480">
            <v>1.8376E-2</v>
          </cell>
        </row>
        <row r="481">
          <cell r="A481">
            <v>3.1537000000000003E-2</v>
          </cell>
        </row>
        <row r="482">
          <cell r="A482">
            <v>3.3612000000000003E-2</v>
          </cell>
        </row>
        <row r="483">
          <cell r="A483">
            <v>3.0616000000000001E-2</v>
          </cell>
        </row>
        <row r="484">
          <cell r="A484">
            <v>3.4908000000000002E-2</v>
          </cell>
        </row>
        <row r="485">
          <cell r="A485">
            <v>2.8035000000000001E-2</v>
          </cell>
        </row>
        <row r="486">
          <cell r="A486">
            <v>3.5789000000000001E-2</v>
          </cell>
        </row>
        <row r="487">
          <cell r="A487">
            <v>1.0047E-2</v>
          </cell>
        </row>
        <row r="488">
          <cell r="A488">
            <v>1.8523999999999999E-2</v>
          </cell>
        </row>
        <row r="489">
          <cell r="A489">
            <v>1.6861000000000001E-2</v>
          </cell>
        </row>
        <row r="490">
          <cell r="A490">
            <v>2.3827999999999998E-2</v>
          </cell>
        </row>
        <row r="491">
          <cell r="A491">
            <v>1.1563E-2</v>
          </cell>
        </row>
        <row r="492">
          <cell r="A492">
            <v>1.5907000000000001E-2</v>
          </cell>
        </row>
        <row r="493">
          <cell r="A493">
            <v>3.1518999999999998E-2</v>
          </cell>
        </row>
        <row r="494">
          <cell r="A494">
            <v>2.3914999999999999E-2</v>
          </cell>
        </row>
        <row r="495">
          <cell r="A495">
            <v>3.9365999999999998E-2</v>
          </cell>
        </row>
        <row r="496">
          <cell r="A496">
            <v>4.8349000000000003E-2</v>
          </cell>
        </row>
        <row r="497">
          <cell r="A497">
            <v>2.3081000000000001E-2</v>
          </cell>
        </row>
        <row r="498">
          <cell r="A498">
            <v>3.1479E-2</v>
          </cell>
        </row>
        <row r="499">
          <cell r="A499">
            <v>2.0931000000000002E-2</v>
          </cell>
        </row>
        <row r="500">
          <cell r="A500">
            <v>1.1896E-2</v>
          </cell>
        </row>
        <row r="501">
          <cell r="A501">
            <v>4.2603000000000002E-2</v>
          </cell>
        </row>
        <row r="502">
          <cell r="A502">
            <v>3.3648999999999998E-2</v>
          </cell>
        </row>
        <row r="503">
          <cell r="A503">
            <v>4.1151E-2</v>
          </cell>
        </row>
        <row r="504">
          <cell r="A504">
            <v>3.5444999999999997E-2</v>
          </cell>
        </row>
        <row r="505">
          <cell r="A505">
            <v>2.2197999999999999E-2</v>
          </cell>
        </row>
        <row r="506">
          <cell r="A506">
            <v>3.4014000000000003E-2</v>
          </cell>
        </row>
        <row r="507">
          <cell r="A507">
            <v>3.9024999999999997E-2</v>
          </cell>
        </row>
        <row r="508">
          <cell r="A508">
            <v>3.6130000000000002E-2</v>
          </cell>
        </row>
        <row r="509">
          <cell r="A509">
            <v>1.3075E-2</v>
          </cell>
        </row>
        <row r="510">
          <cell r="A510">
            <v>1.4695E-2</v>
          </cell>
        </row>
        <row r="511">
          <cell r="A511">
            <v>2.8662E-2</v>
          </cell>
        </row>
        <row r="512">
          <cell r="A512">
            <v>1.5886000000000001E-2</v>
          </cell>
        </row>
        <row r="513">
          <cell r="A513">
            <v>3.6861999999999999E-2</v>
          </cell>
        </row>
        <row r="514">
          <cell r="A514">
            <v>2.3889000000000001E-2</v>
          </cell>
        </row>
        <row r="515">
          <cell r="A515">
            <v>2.9669000000000001E-2</v>
          </cell>
        </row>
        <row r="516">
          <cell r="A516">
            <v>3.2501000000000002E-2</v>
          </cell>
        </row>
        <row r="517">
          <cell r="A517">
            <v>3.2468999999999998E-2</v>
          </cell>
        </row>
        <row r="518">
          <cell r="A518">
            <v>4.5358999999999997E-2</v>
          </cell>
        </row>
        <row r="519">
          <cell r="A519">
            <v>1.9723999999999998E-2</v>
          </cell>
        </row>
        <row r="520">
          <cell r="A520">
            <v>3.1987000000000002E-2</v>
          </cell>
        </row>
        <row r="521">
          <cell r="A521">
            <v>9.0010000000000003E-3</v>
          </cell>
        </row>
        <row r="522">
          <cell r="A522">
            <v>2.7667000000000001E-2</v>
          </cell>
        </row>
        <row r="523">
          <cell r="A523">
            <v>2.0049999999999998E-2</v>
          </cell>
        </row>
        <row r="524">
          <cell r="A524">
            <v>3.6942999999999997E-2</v>
          </cell>
        </row>
        <row r="525">
          <cell r="A525">
            <v>3.1040000000000002E-2</v>
          </cell>
        </row>
        <row r="526">
          <cell r="A526">
            <v>3.3412999999999998E-2</v>
          </cell>
        </row>
        <row r="527">
          <cell r="A527">
            <v>4.1368000000000002E-2</v>
          </cell>
        </row>
        <row r="528">
          <cell r="A528">
            <v>3.5444000000000003E-2</v>
          </cell>
        </row>
        <row r="529">
          <cell r="A529">
            <v>1.333E-2</v>
          </cell>
        </row>
        <row r="530">
          <cell r="A530">
            <v>2.2282E-2</v>
          </cell>
        </row>
        <row r="531">
          <cell r="A531">
            <v>3.8746000000000003E-2</v>
          </cell>
        </row>
        <row r="532">
          <cell r="A532">
            <v>2.8417999999999999E-2</v>
          </cell>
        </row>
        <row r="533">
          <cell r="A533">
            <v>1.1684E-2</v>
          </cell>
        </row>
        <row r="534">
          <cell r="A534">
            <v>3.4701000000000003E-2</v>
          </cell>
        </row>
        <row r="535">
          <cell r="A535">
            <v>2.7883999999999999E-2</v>
          </cell>
        </row>
        <row r="536">
          <cell r="A536">
            <v>1.5343000000000001E-2</v>
          </cell>
        </row>
        <row r="537">
          <cell r="A537">
            <v>1.3602E-2</v>
          </cell>
        </row>
        <row r="538">
          <cell r="A538">
            <v>2.4464E-2</v>
          </cell>
        </row>
        <row r="539">
          <cell r="A539">
            <v>1.3564E-2</v>
          </cell>
        </row>
        <row r="540">
          <cell r="A540">
            <v>3.2488999999999997E-2</v>
          </cell>
        </row>
        <row r="541">
          <cell r="A541">
            <v>2.3722E-2</v>
          </cell>
        </row>
        <row r="542">
          <cell r="A542">
            <v>1.5878E-2</v>
          </cell>
        </row>
        <row r="543">
          <cell r="A543">
            <v>1.5207E-2</v>
          </cell>
        </row>
        <row r="544">
          <cell r="A544">
            <v>2.4374E-2</v>
          </cell>
        </row>
        <row r="545">
          <cell r="A545">
            <v>3.1275999999999998E-2</v>
          </cell>
        </row>
        <row r="546">
          <cell r="A546">
            <v>1.7410999999999999E-2</v>
          </cell>
        </row>
        <row r="547">
          <cell r="A547">
            <v>1.4808E-2</v>
          </cell>
        </row>
        <row r="548">
          <cell r="A548">
            <v>2.6547999999999999E-2</v>
          </cell>
        </row>
        <row r="549">
          <cell r="A549">
            <v>2.7730999999999999E-2</v>
          </cell>
        </row>
        <row r="550">
          <cell r="A550">
            <v>2.3649E-2</v>
          </cell>
        </row>
        <row r="551">
          <cell r="A551">
            <v>1.6733999999999999E-2</v>
          </cell>
        </row>
        <row r="552">
          <cell r="A552">
            <v>1.6781999999999998E-2</v>
          </cell>
        </row>
        <row r="553">
          <cell r="A553">
            <v>3.3903999999999997E-2</v>
          </cell>
        </row>
        <row r="554">
          <cell r="A554">
            <v>1.9015000000000001E-2</v>
          </cell>
        </row>
        <row r="555">
          <cell r="A555">
            <v>3.1488000000000002E-2</v>
          </cell>
        </row>
        <row r="556">
          <cell r="A556">
            <v>1.2633999999999999E-2</v>
          </cell>
        </row>
        <row r="557">
          <cell r="A557">
            <v>1.5786000000000001E-2</v>
          </cell>
        </row>
        <row r="558">
          <cell r="A558">
            <v>1.3356E-2</v>
          </cell>
        </row>
        <row r="559">
          <cell r="A559">
            <v>1.653E-2</v>
          </cell>
        </row>
        <row r="560">
          <cell r="A560">
            <v>2.9603999999999998E-2</v>
          </cell>
        </row>
        <row r="561">
          <cell r="A561">
            <v>3.5087E-2</v>
          </cell>
        </row>
        <row r="562">
          <cell r="A562">
            <v>3.0550000000000001E-2</v>
          </cell>
        </row>
        <row r="563">
          <cell r="A563">
            <v>1.8024999999999999E-2</v>
          </cell>
        </row>
        <row r="564">
          <cell r="A564">
            <v>2.9398000000000001E-2</v>
          </cell>
        </row>
        <row r="565">
          <cell r="A565">
            <v>2.3858000000000001E-2</v>
          </cell>
        </row>
        <row r="566">
          <cell r="A566">
            <v>2.4628000000000001E-2</v>
          </cell>
        </row>
        <row r="567">
          <cell r="A567">
            <v>9.1870000000000007E-3</v>
          </cell>
        </row>
        <row r="568">
          <cell r="A568">
            <v>1.5556E-2</v>
          </cell>
        </row>
        <row r="569">
          <cell r="A569">
            <v>1.6497000000000001E-2</v>
          </cell>
        </row>
        <row r="570">
          <cell r="A570">
            <v>2.3819E-2</v>
          </cell>
        </row>
        <row r="571">
          <cell r="A571">
            <v>2.9673000000000001E-2</v>
          </cell>
        </row>
        <row r="572">
          <cell r="A572">
            <v>3.0297000000000001E-2</v>
          </cell>
        </row>
        <row r="573">
          <cell r="A573">
            <v>1.1101E-2</v>
          </cell>
        </row>
        <row r="574">
          <cell r="A574">
            <v>1.3082999999999999E-2</v>
          </cell>
        </row>
        <row r="575">
          <cell r="A575">
            <v>2.9249000000000001E-2</v>
          </cell>
        </row>
        <row r="576">
          <cell r="A576">
            <v>2.9092E-2</v>
          </cell>
        </row>
        <row r="577">
          <cell r="A577">
            <v>1.2903E-2</v>
          </cell>
        </row>
        <row r="578">
          <cell r="A578">
            <v>1.5422E-2</v>
          </cell>
        </row>
        <row r="579">
          <cell r="A579">
            <v>2.9316999999999999E-2</v>
          </cell>
        </row>
        <row r="580">
          <cell r="A580">
            <v>2.1009E-2</v>
          </cell>
        </row>
        <row r="581">
          <cell r="A581">
            <v>3.0204999999999999E-2</v>
          </cell>
        </row>
        <row r="582">
          <cell r="A582">
            <v>2.2381999999999999E-2</v>
          </cell>
        </row>
        <row r="583">
          <cell r="A583">
            <v>2.7319E-2</v>
          </cell>
        </row>
        <row r="584">
          <cell r="A584">
            <v>1.7412E-2</v>
          </cell>
        </row>
        <row r="585">
          <cell r="A585">
            <v>2.3326E-2</v>
          </cell>
        </row>
        <row r="586">
          <cell r="A586">
            <v>3.4233E-2</v>
          </cell>
        </row>
        <row r="587">
          <cell r="A587">
            <v>1.3233E-2</v>
          </cell>
        </row>
        <row r="588">
          <cell r="A588">
            <v>2.9731E-2</v>
          </cell>
        </row>
        <row r="589">
          <cell r="A589">
            <v>3.1777E-2</v>
          </cell>
        </row>
        <row r="590">
          <cell r="A590">
            <v>3.7064E-2</v>
          </cell>
        </row>
        <row r="591">
          <cell r="A591">
            <v>2.0930000000000001E-2</v>
          </cell>
        </row>
        <row r="592">
          <cell r="A592">
            <v>1.2357E-2</v>
          </cell>
        </row>
        <row r="593">
          <cell r="A593">
            <v>2.8405E-2</v>
          </cell>
        </row>
        <row r="594">
          <cell r="A594">
            <v>3.4033000000000001E-2</v>
          </cell>
        </row>
        <row r="595">
          <cell r="A595">
            <v>2.8004000000000001E-2</v>
          </cell>
        </row>
        <row r="596">
          <cell r="A596">
            <v>3.7381999999999999E-2</v>
          </cell>
        </row>
        <row r="597">
          <cell r="A597">
            <v>4.3485999999999997E-2</v>
          </cell>
        </row>
        <row r="598">
          <cell r="A598">
            <v>2.1683000000000001E-2</v>
          </cell>
        </row>
        <row r="599">
          <cell r="A599">
            <v>2.7334000000000001E-2</v>
          </cell>
        </row>
        <row r="600">
          <cell r="A600">
            <v>2.6381999999999999E-2</v>
          </cell>
        </row>
        <row r="601">
          <cell r="A601">
            <v>2.9500999999999999E-2</v>
          </cell>
        </row>
        <row r="602">
          <cell r="A602">
            <v>1.5186E-2</v>
          </cell>
        </row>
        <row r="603">
          <cell r="A603">
            <v>1.7614999999999999E-2</v>
          </cell>
        </row>
        <row r="604">
          <cell r="A604">
            <v>2.3768999999999998E-2</v>
          </cell>
        </row>
        <row r="605">
          <cell r="A605">
            <v>2.1356E-2</v>
          </cell>
        </row>
        <row r="606">
          <cell r="A606">
            <v>1.2564000000000001E-2</v>
          </cell>
        </row>
        <row r="607">
          <cell r="A607">
            <v>1.9984999999999999E-2</v>
          </cell>
        </row>
        <row r="608">
          <cell r="A608">
            <v>2.5780000000000001E-2</v>
          </cell>
        </row>
        <row r="609">
          <cell r="A609">
            <v>3.9288999999999998E-2</v>
          </cell>
        </row>
        <row r="610">
          <cell r="A610">
            <v>1.7153000000000002E-2</v>
          </cell>
        </row>
        <row r="611">
          <cell r="A611">
            <v>2.2051999999999999E-2</v>
          </cell>
        </row>
        <row r="612">
          <cell r="A612">
            <v>3.1432000000000002E-2</v>
          </cell>
        </row>
        <row r="613">
          <cell r="A613">
            <v>1.5228999999999999E-2</v>
          </cell>
        </row>
        <row r="614">
          <cell r="A614">
            <v>1.5566E-2</v>
          </cell>
        </row>
        <row r="615">
          <cell r="A615">
            <v>2.3817999999999999E-2</v>
          </cell>
        </row>
        <row r="616">
          <cell r="A616">
            <v>2.1915E-2</v>
          </cell>
        </row>
        <row r="617">
          <cell r="A617">
            <v>3.0133E-2</v>
          </cell>
        </row>
        <row r="618">
          <cell r="A618">
            <v>2.1409999999999998E-2</v>
          </cell>
        </row>
        <row r="619">
          <cell r="A619">
            <v>2.8605999999999999E-2</v>
          </cell>
        </row>
        <row r="620">
          <cell r="A620">
            <v>2.9271999999999999E-2</v>
          </cell>
        </row>
        <row r="621">
          <cell r="A621">
            <v>1.3978000000000001E-2</v>
          </cell>
        </row>
        <row r="622">
          <cell r="A622">
            <v>1.9521E-2</v>
          </cell>
        </row>
        <row r="623">
          <cell r="A623">
            <v>3.8892999999999997E-2</v>
          </cell>
        </row>
        <row r="624">
          <cell r="A624">
            <v>3.1566999999999998E-2</v>
          </cell>
        </row>
        <row r="625">
          <cell r="A625">
            <v>1.2566000000000001E-2</v>
          </cell>
        </row>
        <row r="626">
          <cell r="A626">
            <v>1.1913999999999999E-2</v>
          </cell>
        </row>
        <row r="627">
          <cell r="A627">
            <v>2.5381999999999998E-2</v>
          </cell>
        </row>
        <row r="628">
          <cell r="A628">
            <v>1.7763999999999999E-2</v>
          </cell>
        </row>
        <row r="629">
          <cell r="A629">
            <v>2.6061000000000001E-2</v>
          </cell>
        </row>
        <row r="630">
          <cell r="A630">
            <v>2.9405000000000001E-2</v>
          </cell>
        </row>
        <row r="631">
          <cell r="A631">
            <v>1.8925999999999998E-2</v>
          </cell>
        </row>
        <row r="632">
          <cell r="A632">
            <v>2.2759000000000001E-2</v>
          </cell>
        </row>
        <row r="633">
          <cell r="A633">
            <v>2.9654E-2</v>
          </cell>
        </row>
        <row r="634">
          <cell r="A634">
            <v>2.1486000000000002E-2</v>
          </cell>
        </row>
        <row r="635">
          <cell r="A635">
            <v>2.23E-2</v>
          </cell>
        </row>
        <row r="636">
          <cell r="A636">
            <v>1.3823999999999999E-2</v>
          </cell>
        </row>
        <row r="637">
          <cell r="A637">
            <v>2.4441000000000001E-2</v>
          </cell>
        </row>
        <row r="638">
          <cell r="A638">
            <v>1.7066000000000001E-2</v>
          </cell>
        </row>
        <row r="639">
          <cell r="A639">
            <v>2.5127E-2</v>
          </cell>
        </row>
        <row r="640">
          <cell r="A640">
            <v>3.3000000000000002E-2</v>
          </cell>
        </row>
        <row r="641">
          <cell r="A641">
            <v>3.2448999999999999E-2</v>
          </cell>
        </row>
        <row r="642">
          <cell r="A642">
            <v>2.0575E-2</v>
          </cell>
        </row>
        <row r="643">
          <cell r="A643">
            <v>3.168E-2</v>
          </cell>
        </row>
        <row r="644">
          <cell r="A644">
            <v>6.1609999999999998E-3</v>
          </cell>
        </row>
        <row r="645">
          <cell r="A645">
            <v>2.3619999999999999E-2</v>
          </cell>
        </row>
        <row r="646">
          <cell r="A646">
            <v>1.6944000000000001E-2</v>
          </cell>
        </row>
        <row r="647">
          <cell r="A647">
            <v>1.7571E-2</v>
          </cell>
        </row>
        <row r="648">
          <cell r="A648">
            <v>2.7826E-2</v>
          </cell>
        </row>
        <row r="649">
          <cell r="A649">
            <v>2.6197999999999999E-2</v>
          </cell>
        </row>
        <row r="650">
          <cell r="A650">
            <v>1.4196E-2</v>
          </cell>
        </row>
        <row r="651">
          <cell r="A651">
            <v>1.4555999999999999E-2</v>
          </cell>
        </row>
        <row r="652">
          <cell r="A652">
            <v>2.6564999999999998E-2</v>
          </cell>
        </row>
        <row r="653">
          <cell r="A653">
            <v>2.0077999999999999E-2</v>
          </cell>
        </row>
        <row r="654">
          <cell r="A654">
            <v>1.1730000000000001E-2</v>
          </cell>
        </row>
        <row r="655">
          <cell r="A655">
            <v>1.4716E-2</v>
          </cell>
        </row>
        <row r="656">
          <cell r="A656">
            <v>3.2229000000000001E-2</v>
          </cell>
        </row>
        <row r="657">
          <cell r="A657">
            <v>1.4541999999999999E-2</v>
          </cell>
        </row>
        <row r="658">
          <cell r="A658">
            <v>1.0592000000000001E-2</v>
          </cell>
        </row>
        <row r="659">
          <cell r="A659">
            <v>2.6991000000000001E-2</v>
          </cell>
        </row>
        <row r="660">
          <cell r="A660">
            <v>1.4309000000000001E-2</v>
          </cell>
        </row>
        <row r="661">
          <cell r="A661">
            <v>1.8615E-2</v>
          </cell>
        </row>
        <row r="662">
          <cell r="A662">
            <v>1.4442E-2</v>
          </cell>
        </row>
        <row r="663">
          <cell r="A663">
            <v>3.6499999999999998E-2</v>
          </cell>
        </row>
        <row r="664">
          <cell r="A664">
            <v>1.2626E-2</v>
          </cell>
        </row>
        <row r="665">
          <cell r="A665">
            <v>2.7403E-2</v>
          </cell>
        </row>
        <row r="666">
          <cell r="A666">
            <v>3.5687000000000003E-2</v>
          </cell>
        </row>
        <row r="667">
          <cell r="A667">
            <v>3.4755000000000001E-2</v>
          </cell>
        </row>
        <row r="668">
          <cell r="A668">
            <v>1.4399E-2</v>
          </cell>
        </row>
        <row r="669">
          <cell r="A669">
            <v>1.3573999999999999E-2</v>
          </cell>
        </row>
        <row r="670">
          <cell r="A670">
            <v>2.2401000000000001E-2</v>
          </cell>
        </row>
        <row r="671">
          <cell r="A671">
            <v>2.6877000000000002E-2</v>
          </cell>
        </row>
        <row r="672">
          <cell r="A672">
            <v>2.1044E-2</v>
          </cell>
        </row>
        <row r="673">
          <cell r="A673">
            <v>3.1789999999999999E-2</v>
          </cell>
        </row>
        <row r="674">
          <cell r="A674">
            <v>3.2661999999999997E-2</v>
          </cell>
        </row>
        <row r="675">
          <cell r="A675">
            <v>1.3180000000000001E-2</v>
          </cell>
        </row>
        <row r="676">
          <cell r="A676">
            <v>2.2259999999999999E-2</v>
          </cell>
        </row>
        <row r="677">
          <cell r="A677">
            <v>2.3156E-2</v>
          </cell>
        </row>
        <row r="678">
          <cell r="A678">
            <v>3.1858999999999998E-2</v>
          </cell>
        </row>
        <row r="679">
          <cell r="A679">
            <v>2.4580000000000001E-2</v>
          </cell>
        </row>
        <row r="680">
          <cell r="A680">
            <v>1.2468E-2</v>
          </cell>
        </row>
        <row r="681">
          <cell r="A681">
            <v>2.9794999999999999E-2</v>
          </cell>
        </row>
        <row r="682">
          <cell r="A682">
            <v>2.9163999999999999E-2</v>
          </cell>
        </row>
        <row r="683">
          <cell r="A683">
            <v>1.78E-2</v>
          </cell>
        </row>
        <row r="684">
          <cell r="A684">
            <v>1.8505000000000001E-2</v>
          </cell>
        </row>
        <row r="685">
          <cell r="A685">
            <v>2.7015999999999998E-2</v>
          </cell>
        </row>
        <row r="686">
          <cell r="A686">
            <v>3.1553999999999999E-2</v>
          </cell>
        </row>
        <row r="687">
          <cell r="A687">
            <v>1.9650000000000001E-2</v>
          </cell>
        </row>
        <row r="688">
          <cell r="A688">
            <v>1.3268E-2</v>
          </cell>
        </row>
        <row r="689">
          <cell r="A689">
            <v>2.4178999999999999E-2</v>
          </cell>
        </row>
        <row r="690">
          <cell r="A690">
            <v>2.5225999999999998E-2</v>
          </cell>
        </row>
        <row r="691">
          <cell r="A691">
            <v>1.4259000000000001E-2</v>
          </cell>
        </row>
        <row r="692">
          <cell r="A692">
            <v>1.4746E-2</v>
          </cell>
        </row>
        <row r="693">
          <cell r="A693">
            <v>1.511E-2</v>
          </cell>
        </row>
        <row r="694">
          <cell r="A694">
            <v>2.2679999999999999E-2</v>
          </cell>
        </row>
        <row r="695">
          <cell r="A695">
            <v>2.7827000000000001E-2</v>
          </cell>
        </row>
        <row r="696">
          <cell r="A696">
            <v>2.2173999999999999E-2</v>
          </cell>
        </row>
        <row r="697">
          <cell r="A697">
            <v>2.9345E-2</v>
          </cell>
        </row>
        <row r="698">
          <cell r="A698">
            <v>2.7397000000000001E-2</v>
          </cell>
        </row>
        <row r="699">
          <cell r="A699">
            <v>1.5841000000000001E-2</v>
          </cell>
        </row>
        <row r="700">
          <cell r="A700">
            <v>2.0184000000000001E-2</v>
          </cell>
        </row>
        <row r="701">
          <cell r="A701">
            <v>3.6205000000000001E-2</v>
          </cell>
        </row>
        <row r="702">
          <cell r="A702">
            <v>7.8659999999999997E-3</v>
          </cell>
        </row>
        <row r="703">
          <cell r="A703">
            <v>1.3369000000000001E-2</v>
          </cell>
        </row>
        <row r="704">
          <cell r="A704">
            <v>3.4063999999999997E-2</v>
          </cell>
        </row>
        <row r="705">
          <cell r="A705">
            <v>3.4744999999999998E-2</v>
          </cell>
        </row>
        <row r="706">
          <cell r="A706">
            <v>2.6969E-2</v>
          </cell>
        </row>
        <row r="707">
          <cell r="A707">
            <v>2.2277000000000002E-2</v>
          </cell>
        </row>
        <row r="708">
          <cell r="A708">
            <v>4.1813999999999997E-2</v>
          </cell>
        </row>
        <row r="709">
          <cell r="A709">
            <v>2.5746999999999999E-2</v>
          </cell>
        </row>
        <row r="710">
          <cell r="A710">
            <v>6.0639999999999999E-3</v>
          </cell>
        </row>
        <row r="711">
          <cell r="A711">
            <v>2.0423E-2</v>
          </cell>
        </row>
        <row r="712">
          <cell r="A712">
            <v>2.2141999999999998E-2</v>
          </cell>
        </row>
        <row r="713">
          <cell r="A713">
            <v>2.9957000000000001E-2</v>
          </cell>
        </row>
        <row r="714">
          <cell r="A714">
            <v>1.5571E-2</v>
          </cell>
        </row>
        <row r="715">
          <cell r="A715">
            <v>1.3162999999999999E-2</v>
          </cell>
        </row>
        <row r="716">
          <cell r="A716">
            <v>1.1920999999999999E-2</v>
          </cell>
        </row>
        <row r="717">
          <cell r="A717">
            <v>2.7174E-2</v>
          </cell>
        </row>
        <row r="718">
          <cell r="A718">
            <v>3.1614999999999997E-2</v>
          </cell>
        </row>
        <row r="719">
          <cell r="A719">
            <v>1.2402E-2</v>
          </cell>
        </row>
        <row r="720">
          <cell r="A720">
            <v>3.3945999999999997E-2</v>
          </cell>
        </row>
        <row r="721">
          <cell r="A721">
            <v>3.2908E-2</v>
          </cell>
        </row>
        <row r="722">
          <cell r="A722">
            <v>3.2927999999999999E-2</v>
          </cell>
        </row>
        <row r="723">
          <cell r="A723">
            <v>2.3050999999999999E-2</v>
          </cell>
        </row>
        <row r="724">
          <cell r="A724">
            <v>2.7366999999999999E-2</v>
          </cell>
        </row>
        <row r="725">
          <cell r="A725">
            <v>2.4379000000000001E-2</v>
          </cell>
        </row>
        <row r="726">
          <cell r="A726">
            <v>1.5224E-2</v>
          </cell>
        </row>
        <row r="727">
          <cell r="A727">
            <v>2.9766000000000001E-2</v>
          </cell>
        </row>
        <row r="728">
          <cell r="A728">
            <v>3.9293000000000002E-2</v>
          </cell>
        </row>
        <row r="729">
          <cell r="A729">
            <v>1.7711000000000001E-2</v>
          </cell>
        </row>
        <row r="730">
          <cell r="A730">
            <v>1.3370999999999999E-2</v>
          </cell>
        </row>
        <row r="731">
          <cell r="A731">
            <v>2.4537E-2</v>
          </cell>
        </row>
        <row r="732">
          <cell r="A732">
            <v>2.2554999999999999E-2</v>
          </cell>
        </row>
        <row r="733">
          <cell r="A733">
            <v>2.9656999999999999E-2</v>
          </cell>
        </row>
        <row r="734">
          <cell r="A734">
            <v>8.5500000000000003E-3</v>
          </cell>
        </row>
        <row r="735">
          <cell r="A735">
            <v>2.895E-2</v>
          </cell>
        </row>
        <row r="736">
          <cell r="A736">
            <v>2.6905999999999999E-2</v>
          </cell>
        </row>
        <row r="737">
          <cell r="A737">
            <v>1.5865000000000001E-2</v>
          </cell>
        </row>
        <row r="738">
          <cell r="A738">
            <v>4.1993000000000003E-2</v>
          </cell>
        </row>
        <row r="739">
          <cell r="A739">
            <v>2.1828E-2</v>
          </cell>
        </row>
        <row r="740">
          <cell r="A740">
            <v>3.1163E-2</v>
          </cell>
        </row>
        <row r="741">
          <cell r="A741">
            <v>1.5518000000000001E-2</v>
          </cell>
        </row>
        <row r="742">
          <cell r="A742">
            <v>2.2941E-2</v>
          </cell>
        </row>
        <row r="743">
          <cell r="A743">
            <v>1.3698999999999999E-2</v>
          </cell>
        </row>
        <row r="744">
          <cell r="A744">
            <v>2.4948000000000001E-2</v>
          </cell>
        </row>
        <row r="745">
          <cell r="A745">
            <v>3.0526000000000001E-2</v>
          </cell>
        </row>
        <row r="746">
          <cell r="A746">
            <v>1.6830999999999999E-2</v>
          </cell>
        </row>
        <row r="747">
          <cell r="A747">
            <v>1.8370999999999998E-2</v>
          </cell>
        </row>
        <row r="748">
          <cell r="A748">
            <v>3.0483E-2</v>
          </cell>
        </row>
        <row r="749">
          <cell r="A749">
            <v>1.0824E-2</v>
          </cell>
        </row>
        <row r="750">
          <cell r="A750">
            <v>8.1530000000000005E-3</v>
          </cell>
        </row>
        <row r="751">
          <cell r="A751">
            <v>1.5609E-2</v>
          </cell>
        </row>
        <row r="752">
          <cell r="A752">
            <v>2.9498E-2</v>
          </cell>
        </row>
        <row r="753">
          <cell r="A753">
            <v>3.2052999999999998E-2</v>
          </cell>
        </row>
        <row r="754">
          <cell r="A754">
            <v>2.7057000000000001E-2</v>
          </cell>
        </row>
        <row r="755">
          <cell r="A755">
            <v>1.5813000000000001E-2</v>
          </cell>
        </row>
        <row r="756">
          <cell r="A756">
            <v>2.6518E-2</v>
          </cell>
        </row>
        <row r="757">
          <cell r="A757">
            <v>1.8457999999999999E-2</v>
          </cell>
        </row>
        <row r="758">
          <cell r="A758">
            <v>2.0667999999999999E-2</v>
          </cell>
        </row>
        <row r="759">
          <cell r="A759">
            <v>1.6416E-2</v>
          </cell>
        </row>
        <row r="760">
          <cell r="A760">
            <v>1.2184E-2</v>
          </cell>
        </row>
        <row r="761">
          <cell r="A761">
            <v>3.0790999999999999E-2</v>
          </cell>
        </row>
        <row r="762">
          <cell r="A762">
            <v>1.3651999999999999E-2</v>
          </cell>
        </row>
        <row r="763">
          <cell r="A763">
            <v>2.7650999999999998E-2</v>
          </cell>
        </row>
        <row r="764">
          <cell r="A764">
            <v>2.1874000000000001E-2</v>
          </cell>
        </row>
        <row r="765">
          <cell r="A765">
            <v>2.6044000000000001E-2</v>
          </cell>
        </row>
        <row r="766">
          <cell r="A766">
            <v>2.7178999999999998E-2</v>
          </cell>
        </row>
        <row r="767">
          <cell r="A767">
            <v>3.2828999999999997E-2</v>
          </cell>
        </row>
        <row r="768">
          <cell r="A768">
            <v>1.5973999999999999E-2</v>
          </cell>
        </row>
        <row r="769">
          <cell r="A769">
            <v>4.1371999999999999E-2</v>
          </cell>
        </row>
        <row r="770">
          <cell r="A770">
            <v>1.4706E-2</v>
          </cell>
        </row>
        <row r="771">
          <cell r="A771">
            <v>1.3450999999999999E-2</v>
          </cell>
        </row>
        <row r="772">
          <cell r="A772">
            <v>2.5916000000000002E-2</v>
          </cell>
        </row>
        <row r="773">
          <cell r="A773">
            <v>2.8787E-2</v>
          </cell>
        </row>
        <row r="774">
          <cell r="A774">
            <v>2.1391E-2</v>
          </cell>
        </row>
        <row r="775">
          <cell r="A775">
            <v>2.5624000000000001E-2</v>
          </cell>
        </row>
        <row r="776">
          <cell r="A776">
            <v>2.7394000000000002E-2</v>
          </cell>
        </row>
        <row r="777">
          <cell r="A777">
            <v>2.8001000000000002E-2</v>
          </cell>
        </row>
        <row r="778">
          <cell r="A778">
            <v>3.0169999999999999E-2</v>
          </cell>
        </row>
        <row r="779">
          <cell r="A779">
            <v>1.3179E-2</v>
          </cell>
        </row>
        <row r="780">
          <cell r="A780">
            <v>2.8989999999999998E-2</v>
          </cell>
        </row>
        <row r="781">
          <cell r="A781">
            <v>1.4858E-2</v>
          </cell>
        </row>
        <row r="782">
          <cell r="A782">
            <v>3.2346E-2</v>
          </cell>
        </row>
        <row r="783">
          <cell r="A783">
            <v>1.4952E-2</v>
          </cell>
        </row>
        <row r="784">
          <cell r="A784">
            <v>2.0523E-2</v>
          </cell>
        </row>
        <row r="785">
          <cell r="A785">
            <v>2.4084000000000001E-2</v>
          </cell>
        </row>
        <row r="786">
          <cell r="A786">
            <v>2.7847E-2</v>
          </cell>
        </row>
        <row r="787">
          <cell r="A787">
            <v>1.4466E-2</v>
          </cell>
        </row>
        <row r="788">
          <cell r="A788">
            <v>1.5642E-2</v>
          </cell>
        </row>
        <row r="789">
          <cell r="A789">
            <v>1.8164E-2</v>
          </cell>
        </row>
        <row r="790">
          <cell r="A790">
            <v>3.2238000000000003E-2</v>
          </cell>
        </row>
        <row r="791">
          <cell r="A791">
            <v>2.9538999999999999E-2</v>
          </cell>
        </row>
        <row r="792">
          <cell r="A792">
            <v>1.4923000000000001E-2</v>
          </cell>
        </row>
        <row r="793">
          <cell r="A793">
            <v>1.2508E-2</v>
          </cell>
        </row>
        <row r="794">
          <cell r="A794">
            <v>3.4964000000000002E-2</v>
          </cell>
        </row>
        <row r="795">
          <cell r="A795">
            <v>1.5626000000000001E-2</v>
          </cell>
        </row>
        <row r="796">
          <cell r="A796">
            <v>1.8478999999999999E-2</v>
          </cell>
        </row>
        <row r="797">
          <cell r="A797">
            <v>1.9399E-2</v>
          </cell>
        </row>
        <row r="798">
          <cell r="A798">
            <v>2.7023999999999999E-2</v>
          </cell>
        </row>
        <row r="799">
          <cell r="A799">
            <v>3.0911000000000001E-2</v>
          </cell>
        </row>
        <row r="800">
          <cell r="A800">
            <v>1.8662999999999999E-2</v>
          </cell>
        </row>
        <row r="801">
          <cell r="A801">
            <v>2.0351000000000001E-2</v>
          </cell>
        </row>
        <row r="802">
          <cell r="A802">
            <v>2.5166000000000001E-2</v>
          </cell>
        </row>
        <row r="803">
          <cell r="A803">
            <v>3.1729E-2</v>
          </cell>
        </row>
        <row r="804">
          <cell r="A804">
            <v>3.6318999999999997E-2</v>
          </cell>
        </row>
        <row r="805">
          <cell r="A805">
            <v>3.2024999999999998E-2</v>
          </cell>
        </row>
        <row r="806">
          <cell r="A806">
            <v>1.3280999999999999E-2</v>
          </cell>
        </row>
        <row r="807">
          <cell r="A807">
            <v>1.6029000000000002E-2</v>
          </cell>
        </row>
        <row r="808">
          <cell r="A808">
            <v>2.3625E-2</v>
          </cell>
        </row>
        <row r="809">
          <cell r="A809">
            <v>2.7334000000000001E-2</v>
          </cell>
        </row>
        <row r="810">
          <cell r="A810">
            <v>1.5939999999999999E-2</v>
          </cell>
        </row>
        <row r="811">
          <cell r="A811">
            <v>2.5855E-2</v>
          </cell>
        </row>
        <row r="812">
          <cell r="A812">
            <v>1.5121000000000001E-2</v>
          </cell>
        </row>
        <row r="813">
          <cell r="A813">
            <v>2.8629999999999999E-2</v>
          </cell>
        </row>
        <row r="814">
          <cell r="A814">
            <v>3.005E-2</v>
          </cell>
        </row>
        <row r="815">
          <cell r="A815">
            <v>1.1427E-2</v>
          </cell>
        </row>
        <row r="816">
          <cell r="A816">
            <v>1.7899999999999999E-2</v>
          </cell>
        </row>
        <row r="817">
          <cell r="A817">
            <v>2.3706999999999999E-2</v>
          </cell>
        </row>
        <row r="818">
          <cell r="A818">
            <v>1.0127000000000001E-2</v>
          </cell>
        </row>
        <row r="819">
          <cell r="A819">
            <v>1.8197000000000001E-2</v>
          </cell>
        </row>
        <row r="820">
          <cell r="A820">
            <v>1.5848999999999999E-2</v>
          </cell>
        </row>
        <row r="821">
          <cell r="A821">
            <v>2.682E-2</v>
          </cell>
        </row>
        <row r="822">
          <cell r="A822">
            <v>2.0514000000000001E-2</v>
          </cell>
        </row>
        <row r="823">
          <cell r="A823">
            <v>1.244E-2</v>
          </cell>
        </row>
        <row r="824">
          <cell r="A824">
            <v>1.396E-2</v>
          </cell>
        </row>
        <row r="825">
          <cell r="A825">
            <v>1.6958000000000001E-2</v>
          </cell>
        </row>
        <row r="826">
          <cell r="A826">
            <v>3.4014999999999997E-2</v>
          </cell>
        </row>
        <row r="827">
          <cell r="A827">
            <v>2.6617999999999999E-2</v>
          </cell>
        </row>
        <row r="828">
          <cell r="A828">
            <v>1.5521E-2</v>
          </cell>
        </row>
        <row r="829">
          <cell r="A829">
            <v>2.1229999999999999E-2</v>
          </cell>
        </row>
        <row r="830">
          <cell r="A830">
            <v>2.6551999999999999E-2</v>
          </cell>
        </row>
        <row r="831">
          <cell r="A831">
            <v>2.7011E-2</v>
          </cell>
        </row>
        <row r="832">
          <cell r="A832">
            <v>8.1329999999999996E-3</v>
          </cell>
        </row>
        <row r="833">
          <cell r="A833">
            <v>1.6812000000000001E-2</v>
          </cell>
        </row>
        <row r="834">
          <cell r="A834">
            <v>1.7461000000000001E-2</v>
          </cell>
        </row>
        <row r="835">
          <cell r="A835">
            <v>3.9182000000000002E-2</v>
          </cell>
        </row>
        <row r="836">
          <cell r="A836">
            <v>1.1658999999999999E-2</v>
          </cell>
        </row>
        <row r="837">
          <cell r="A837">
            <v>1.6650000000000002E-2</v>
          </cell>
        </row>
        <row r="838">
          <cell r="A838">
            <v>1.7270000000000001E-2</v>
          </cell>
        </row>
        <row r="839">
          <cell r="A839">
            <v>4.1345E-2</v>
          </cell>
        </row>
        <row r="840">
          <cell r="A840">
            <v>3.1531000000000003E-2</v>
          </cell>
        </row>
        <row r="841">
          <cell r="A841">
            <v>2.1094999999999999E-2</v>
          </cell>
        </row>
        <row r="842">
          <cell r="A842">
            <v>2.5475999999999999E-2</v>
          </cell>
        </row>
        <row r="843">
          <cell r="A843">
            <v>5.8630000000000002E-3</v>
          </cell>
        </row>
        <row r="844">
          <cell r="A844">
            <v>2.7875E-2</v>
          </cell>
        </row>
        <row r="845">
          <cell r="A845">
            <v>3.8269999999999998E-2</v>
          </cell>
        </row>
        <row r="846">
          <cell r="A846">
            <v>1.1455999999999999E-2</v>
          </cell>
        </row>
        <row r="847">
          <cell r="A847">
            <v>1.9401000000000002E-2</v>
          </cell>
        </row>
        <row r="848">
          <cell r="A848">
            <v>2.4160000000000001E-2</v>
          </cell>
        </row>
        <row r="849">
          <cell r="A849">
            <v>3.3711999999999999E-2</v>
          </cell>
        </row>
        <row r="850">
          <cell r="A850">
            <v>6.9890000000000004E-3</v>
          </cell>
        </row>
        <row r="851">
          <cell r="A851">
            <v>2.3570000000000001E-2</v>
          </cell>
        </row>
        <row r="852">
          <cell r="A852">
            <v>1.4168E-2</v>
          </cell>
        </row>
        <row r="853">
          <cell r="A853">
            <v>2.9874999999999999E-2</v>
          </cell>
        </row>
        <row r="854">
          <cell r="A854">
            <v>1.3292999999999999E-2</v>
          </cell>
        </row>
        <row r="855">
          <cell r="A855">
            <v>2.8187E-2</v>
          </cell>
        </row>
        <row r="856">
          <cell r="A856">
            <v>3.2246999999999998E-2</v>
          </cell>
        </row>
        <row r="857">
          <cell r="A857">
            <v>2.5777000000000001E-2</v>
          </cell>
        </row>
        <row r="858">
          <cell r="A858">
            <v>2.5828E-2</v>
          </cell>
        </row>
        <row r="859">
          <cell r="A859">
            <v>3.3008000000000003E-2</v>
          </cell>
        </row>
        <row r="860">
          <cell r="A860">
            <v>2.9271999999999999E-2</v>
          </cell>
        </row>
        <row r="861">
          <cell r="A861">
            <v>1.3762999999999999E-2</v>
          </cell>
        </row>
        <row r="862">
          <cell r="A862">
            <v>1.5713000000000001E-2</v>
          </cell>
        </row>
        <row r="863">
          <cell r="A863">
            <v>2.9083999999999999E-2</v>
          </cell>
        </row>
        <row r="864">
          <cell r="A864">
            <v>1.2518E-2</v>
          </cell>
        </row>
        <row r="865">
          <cell r="A865">
            <v>1.9542E-2</v>
          </cell>
        </row>
        <row r="866">
          <cell r="A866">
            <v>3.5212E-2</v>
          </cell>
        </row>
        <row r="867">
          <cell r="A867">
            <v>1.8605E-2</v>
          </cell>
        </row>
        <row r="868">
          <cell r="A868">
            <v>2.6251E-2</v>
          </cell>
        </row>
        <row r="869">
          <cell r="A869">
            <v>2.8878000000000001E-2</v>
          </cell>
        </row>
        <row r="870">
          <cell r="A870">
            <v>1.7881000000000001E-2</v>
          </cell>
        </row>
        <row r="871">
          <cell r="A871">
            <v>1.9941E-2</v>
          </cell>
        </row>
        <row r="872">
          <cell r="A872">
            <v>2.8613E-2</v>
          </cell>
        </row>
        <row r="873">
          <cell r="A873">
            <v>1.3854999999999999E-2</v>
          </cell>
        </row>
        <row r="874">
          <cell r="A874">
            <v>1.3058999999999999E-2</v>
          </cell>
        </row>
        <row r="875">
          <cell r="A875">
            <v>2.4861000000000001E-2</v>
          </cell>
        </row>
        <row r="876">
          <cell r="A876">
            <v>1.0115000000000001E-2</v>
          </cell>
        </row>
        <row r="877">
          <cell r="A877">
            <v>1.4249E-2</v>
          </cell>
        </row>
        <row r="878">
          <cell r="A878">
            <v>2.6476E-2</v>
          </cell>
        </row>
        <row r="879">
          <cell r="A879">
            <v>3.3803E-2</v>
          </cell>
        </row>
        <row r="880">
          <cell r="A880">
            <v>2.3895E-2</v>
          </cell>
        </row>
        <row r="881">
          <cell r="A881">
            <v>2.3418999999999999E-2</v>
          </cell>
        </row>
        <row r="882">
          <cell r="A882">
            <v>2.6733E-2</v>
          </cell>
        </row>
        <row r="883">
          <cell r="A883">
            <v>1.2732E-2</v>
          </cell>
        </row>
        <row r="884">
          <cell r="A884">
            <v>6.9680000000000002E-3</v>
          </cell>
        </row>
        <row r="885">
          <cell r="A885">
            <v>1.2333E-2</v>
          </cell>
        </row>
        <row r="886">
          <cell r="A886">
            <v>1.9449999999999999E-2</v>
          </cell>
        </row>
        <row r="887">
          <cell r="A887">
            <v>1.1544E-2</v>
          </cell>
        </row>
        <row r="888">
          <cell r="A888">
            <v>2.1801999999999998E-2</v>
          </cell>
        </row>
        <row r="889">
          <cell r="A889">
            <v>2.6710999999999999E-2</v>
          </cell>
        </row>
        <row r="890">
          <cell r="A890">
            <v>2.3470000000000001E-2</v>
          </cell>
        </row>
        <row r="891">
          <cell r="A891">
            <v>3.1175999999999999E-2</v>
          </cell>
        </row>
        <row r="892">
          <cell r="A892">
            <v>1.1793E-2</v>
          </cell>
        </row>
        <row r="893">
          <cell r="A893">
            <v>2.0381E-2</v>
          </cell>
        </row>
        <row r="894">
          <cell r="A894">
            <v>2.1153999999999999E-2</v>
          </cell>
        </row>
        <row r="895">
          <cell r="A895">
            <v>2.6731999999999999E-2</v>
          </cell>
        </row>
        <row r="896">
          <cell r="A896">
            <v>2.5943000000000001E-2</v>
          </cell>
        </row>
        <row r="897">
          <cell r="A897">
            <v>3.5534999999999997E-2</v>
          </cell>
        </row>
        <row r="898">
          <cell r="A898">
            <v>1.1701E-2</v>
          </cell>
        </row>
        <row r="899">
          <cell r="A899">
            <v>2.562E-2</v>
          </cell>
        </row>
        <row r="900">
          <cell r="A900">
            <v>1.5793000000000001E-2</v>
          </cell>
        </row>
        <row r="901">
          <cell r="A901">
            <v>2.1447999999999998E-2</v>
          </cell>
        </row>
        <row r="902">
          <cell r="A902">
            <v>2.8587999999999999E-2</v>
          </cell>
        </row>
        <row r="903">
          <cell r="A903">
            <v>3.0047000000000001E-2</v>
          </cell>
        </row>
        <row r="904">
          <cell r="A904">
            <v>1.3616E-2</v>
          </cell>
        </row>
        <row r="905">
          <cell r="A905">
            <v>2.1767999999999999E-2</v>
          </cell>
        </row>
        <row r="906">
          <cell r="A906">
            <v>2.2429999999999999E-2</v>
          </cell>
        </row>
        <row r="907">
          <cell r="A907">
            <v>1.9297999999999999E-2</v>
          </cell>
        </row>
        <row r="908">
          <cell r="A908">
            <v>3.3805000000000002E-2</v>
          </cell>
        </row>
        <row r="909">
          <cell r="A909">
            <v>2.6984000000000001E-2</v>
          </cell>
        </row>
        <row r="910">
          <cell r="A910">
            <v>6.4859999999999996E-3</v>
          </cell>
        </row>
        <row r="911">
          <cell r="A911">
            <v>1.0917E-2</v>
          </cell>
        </row>
        <row r="912">
          <cell r="A912">
            <v>2.0885000000000001E-2</v>
          </cell>
        </row>
        <row r="913">
          <cell r="A913">
            <v>1.6437E-2</v>
          </cell>
        </row>
        <row r="914">
          <cell r="A914">
            <v>1.9366000000000001E-2</v>
          </cell>
        </row>
        <row r="915">
          <cell r="A915">
            <v>3.3271000000000002E-2</v>
          </cell>
        </row>
        <row r="916">
          <cell r="A916">
            <v>1.1625E-2</v>
          </cell>
        </row>
        <row r="917">
          <cell r="A917">
            <v>2.4378E-2</v>
          </cell>
        </row>
        <row r="918">
          <cell r="A918">
            <v>1.9266999999999999E-2</v>
          </cell>
        </row>
        <row r="919">
          <cell r="A919">
            <v>2.4833999999999998E-2</v>
          </cell>
        </row>
        <row r="920">
          <cell r="A920">
            <v>3.3341000000000003E-2</v>
          </cell>
        </row>
        <row r="921">
          <cell r="A921">
            <v>2.3289000000000001E-2</v>
          </cell>
        </row>
        <row r="922">
          <cell r="A922">
            <v>1.4095999999999999E-2</v>
          </cell>
        </row>
        <row r="923">
          <cell r="A923">
            <v>2.3782999999999999E-2</v>
          </cell>
        </row>
        <row r="924">
          <cell r="A924">
            <v>8.7150000000000005E-3</v>
          </cell>
        </row>
        <row r="925">
          <cell r="A925">
            <v>2.0818E-2</v>
          </cell>
        </row>
        <row r="926">
          <cell r="A926">
            <v>3.1841000000000001E-2</v>
          </cell>
        </row>
        <row r="927">
          <cell r="A927">
            <v>1.9275E-2</v>
          </cell>
        </row>
        <row r="928">
          <cell r="A928">
            <v>2.5166999999999998E-2</v>
          </cell>
        </row>
        <row r="929">
          <cell r="A929">
            <v>3.9253000000000003E-2</v>
          </cell>
        </row>
        <row r="930">
          <cell r="A930">
            <v>9.8709999999999996E-3</v>
          </cell>
        </row>
        <row r="931">
          <cell r="A931">
            <v>1.2466E-2</v>
          </cell>
        </row>
        <row r="932">
          <cell r="A932">
            <v>2.6598E-2</v>
          </cell>
        </row>
        <row r="933">
          <cell r="A933">
            <v>3.2707E-2</v>
          </cell>
        </row>
        <row r="934">
          <cell r="A934">
            <v>1.6558E-2</v>
          </cell>
        </row>
        <row r="935">
          <cell r="A935">
            <v>1.8133E-2</v>
          </cell>
        </row>
        <row r="936">
          <cell r="A936">
            <v>1.2840000000000001E-2</v>
          </cell>
        </row>
        <row r="937">
          <cell r="A937">
            <v>1.9487000000000001E-2</v>
          </cell>
        </row>
        <row r="938">
          <cell r="A938">
            <v>2.7608000000000001E-2</v>
          </cell>
        </row>
        <row r="939">
          <cell r="A939">
            <v>2.0327000000000001E-2</v>
          </cell>
        </row>
        <row r="940">
          <cell r="A940">
            <v>2.8055E-2</v>
          </cell>
        </row>
        <row r="941">
          <cell r="A941">
            <v>2.5312999999999999E-2</v>
          </cell>
        </row>
        <row r="942">
          <cell r="A942">
            <v>7.1989999999999997E-3</v>
          </cell>
        </row>
        <row r="943">
          <cell r="A943">
            <v>1.2598E-2</v>
          </cell>
        </row>
        <row r="944">
          <cell r="A944">
            <v>1.4220999999999999E-2</v>
          </cell>
        </row>
        <row r="945">
          <cell r="A945">
            <v>3.1968000000000003E-2</v>
          </cell>
        </row>
        <row r="946">
          <cell r="A946">
            <v>2.5943999999999998E-2</v>
          </cell>
        </row>
        <row r="947">
          <cell r="A947">
            <v>2.0760000000000001E-2</v>
          </cell>
        </row>
        <row r="948">
          <cell r="A948">
            <v>2.3049E-2</v>
          </cell>
        </row>
        <row r="949">
          <cell r="A949">
            <v>2.4104E-2</v>
          </cell>
        </row>
        <row r="950">
          <cell r="A950">
            <v>3.2266999999999997E-2</v>
          </cell>
        </row>
        <row r="951">
          <cell r="A951">
            <v>3.4332000000000001E-2</v>
          </cell>
        </row>
        <row r="952">
          <cell r="A952">
            <v>1.4031999999999999E-2</v>
          </cell>
        </row>
        <row r="953">
          <cell r="A953">
            <v>2.2512000000000001E-2</v>
          </cell>
        </row>
        <row r="954">
          <cell r="A954">
            <v>1.7644E-2</v>
          </cell>
        </row>
        <row r="955">
          <cell r="A955">
            <v>2.6341E-2</v>
          </cell>
        </row>
        <row r="956">
          <cell r="A956">
            <v>9.0910000000000001E-3</v>
          </cell>
        </row>
        <row r="957">
          <cell r="A957">
            <v>1.4109E-2</v>
          </cell>
        </row>
        <row r="958">
          <cell r="A958">
            <v>2.4490999999999999E-2</v>
          </cell>
        </row>
        <row r="959">
          <cell r="A959">
            <v>8.9569999999999997E-3</v>
          </cell>
        </row>
        <row r="960">
          <cell r="A960">
            <v>2.4867E-2</v>
          </cell>
        </row>
        <row r="961">
          <cell r="A961">
            <v>1.5193999999999999E-2</v>
          </cell>
        </row>
        <row r="962">
          <cell r="A962">
            <v>1.6423E-2</v>
          </cell>
        </row>
        <row r="963">
          <cell r="A963">
            <v>2.2134000000000001E-2</v>
          </cell>
        </row>
        <row r="964">
          <cell r="A964">
            <v>1.1081000000000001E-2</v>
          </cell>
        </row>
        <row r="965">
          <cell r="A965">
            <v>2.3311999999999999E-2</v>
          </cell>
        </row>
        <row r="966">
          <cell r="A966">
            <v>2.6540000000000001E-2</v>
          </cell>
        </row>
        <row r="967">
          <cell r="A967">
            <v>1.6441000000000001E-2</v>
          </cell>
        </row>
        <row r="968">
          <cell r="A968">
            <v>2.4143000000000001E-2</v>
          </cell>
        </row>
        <row r="969">
          <cell r="A969">
            <v>1.2477E-2</v>
          </cell>
        </row>
        <row r="970">
          <cell r="A970">
            <v>2.8174000000000001E-2</v>
          </cell>
        </row>
        <row r="971">
          <cell r="A971">
            <v>1.3169999999999999E-2</v>
          </cell>
        </row>
        <row r="972">
          <cell r="A972">
            <v>1.7051E-2</v>
          </cell>
        </row>
        <row r="973">
          <cell r="A973">
            <v>2.5527000000000001E-2</v>
          </cell>
        </row>
        <row r="974">
          <cell r="A974">
            <v>6.7780000000000002E-3</v>
          </cell>
        </row>
        <row r="975">
          <cell r="A975">
            <v>2.1533E-2</v>
          </cell>
        </row>
        <row r="976">
          <cell r="A976">
            <v>2.7831999999999999E-2</v>
          </cell>
        </row>
        <row r="977">
          <cell r="A977">
            <v>1.8720000000000001E-2</v>
          </cell>
        </row>
        <row r="978">
          <cell r="A978">
            <v>3.1297999999999999E-2</v>
          </cell>
        </row>
        <row r="979">
          <cell r="A979">
            <v>1.7694000000000001E-2</v>
          </cell>
        </row>
        <row r="980">
          <cell r="A980">
            <v>2.9318E-2</v>
          </cell>
        </row>
        <row r="981">
          <cell r="A981">
            <v>1.5624000000000001E-2</v>
          </cell>
        </row>
        <row r="982">
          <cell r="A982">
            <v>2.7438000000000001E-2</v>
          </cell>
        </row>
        <row r="983">
          <cell r="A983">
            <v>1.9174E-2</v>
          </cell>
        </row>
        <row r="984">
          <cell r="A984">
            <v>2.6488999999999999E-2</v>
          </cell>
        </row>
        <row r="985">
          <cell r="A985">
            <v>2.1683999999999998E-2</v>
          </cell>
        </row>
        <row r="986">
          <cell r="A986">
            <v>2.3009000000000002E-2</v>
          </cell>
        </row>
        <row r="987">
          <cell r="A987">
            <v>2.6799E-2</v>
          </cell>
        </row>
        <row r="988">
          <cell r="A988">
            <v>1.3783E-2</v>
          </cell>
        </row>
        <row r="989">
          <cell r="A989">
            <v>2.1156999999999999E-2</v>
          </cell>
        </row>
        <row r="990">
          <cell r="A990">
            <v>2.2988999999999999E-2</v>
          </cell>
        </row>
        <row r="991">
          <cell r="A991">
            <v>2.3179999999999999E-2</v>
          </cell>
        </row>
        <row r="992">
          <cell r="A992">
            <v>1.9976000000000001E-2</v>
          </cell>
        </row>
        <row r="993">
          <cell r="A993">
            <v>2.3924000000000001E-2</v>
          </cell>
        </row>
        <row r="994">
          <cell r="A994">
            <v>2.5114999999999998E-2</v>
          </cell>
        </row>
        <row r="995">
          <cell r="A995">
            <v>3.1215E-2</v>
          </cell>
        </row>
        <row r="996">
          <cell r="A996">
            <v>1.8145999999999999E-2</v>
          </cell>
        </row>
        <row r="997">
          <cell r="A997">
            <v>2.2016000000000001E-2</v>
          </cell>
        </row>
        <row r="998">
          <cell r="A998">
            <v>2.4997999999999999E-2</v>
          </cell>
        </row>
        <row r="999">
          <cell r="A999">
            <v>1.9425000000000001E-2</v>
          </cell>
        </row>
        <row r="1000">
          <cell r="A1000">
            <v>1.5502999999999999E-2</v>
          </cell>
        </row>
        <row r="1001">
          <cell r="A1001">
            <v>1.8096000000000001E-2</v>
          </cell>
        </row>
        <row r="1002">
          <cell r="A1002">
            <v>1.8752999999999999E-2</v>
          </cell>
        </row>
        <row r="1003">
          <cell r="A1003">
            <v>1.9961E-2</v>
          </cell>
        </row>
        <row r="1004">
          <cell r="A1004">
            <v>2.3956000000000002E-2</v>
          </cell>
        </row>
        <row r="1005">
          <cell r="A1005">
            <v>2.5100000000000001E-2</v>
          </cell>
        </row>
        <row r="1006">
          <cell r="A1006">
            <v>3.3076000000000001E-2</v>
          </cell>
        </row>
        <row r="1007">
          <cell r="A1007">
            <v>1.2338E-2</v>
          </cell>
        </row>
        <row r="1008">
          <cell r="A1008">
            <v>3.4122E-2</v>
          </cell>
        </row>
        <row r="1009">
          <cell r="A1009">
            <v>1.5188999999999999E-2</v>
          </cell>
        </row>
        <row r="1010">
          <cell r="A1010">
            <v>7.2100000000000003E-3</v>
          </cell>
        </row>
        <row r="1011">
          <cell r="A1011">
            <v>1.7367E-2</v>
          </cell>
        </row>
        <row r="1012">
          <cell r="A1012">
            <v>2.3424E-2</v>
          </cell>
        </row>
        <row r="1013">
          <cell r="A1013">
            <v>2.6447999999999999E-2</v>
          </cell>
        </row>
        <row r="1014">
          <cell r="A1014">
            <v>2.8582E-2</v>
          </cell>
        </row>
        <row r="1015">
          <cell r="A1015">
            <v>2.2845000000000001E-2</v>
          </cell>
        </row>
        <row r="1016">
          <cell r="A1016">
            <v>2.3163E-2</v>
          </cell>
        </row>
        <row r="1017">
          <cell r="A1017">
            <v>2.8986999999999999E-2</v>
          </cell>
        </row>
        <row r="1018">
          <cell r="A1018">
            <v>1.4898E-2</v>
          </cell>
        </row>
        <row r="1019">
          <cell r="A1019">
            <v>2.2138000000000001E-2</v>
          </cell>
        </row>
        <row r="1020">
          <cell r="A1020">
            <v>2.7775999999999999E-2</v>
          </cell>
        </row>
        <row r="1021">
          <cell r="A1021">
            <v>2.4334999999999999E-2</v>
          </cell>
        </row>
        <row r="1022">
          <cell r="A1022">
            <v>3.0238000000000001E-2</v>
          </cell>
        </row>
        <row r="1023">
          <cell r="A1023">
            <v>9.0320000000000001E-3</v>
          </cell>
        </row>
        <row r="1024">
          <cell r="A1024">
            <v>2.461E-2</v>
          </cell>
        </row>
        <row r="1025">
          <cell r="A1025">
            <v>7.9129999999999999E-3</v>
          </cell>
        </row>
        <row r="1026">
          <cell r="A1026">
            <v>2.1708000000000002E-2</v>
          </cell>
        </row>
        <row r="1027">
          <cell r="A1027">
            <v>2.3281E-2</v>
          </cell>
        </row>
        <row r="1028">
          <cell r="A1028">
            <v>6.6530000000000001E-3</v>
          </cell>
        </row>
        <row r="1029">
          <cell r="A1029">
            <v>1.1525000000000001E-2</v>
          </cell>
        </row>
        <row r="1030">
          <cell r="A1030">
            <v>2.4767000000000001E-2</v>
          </cell>
        </row>
        <row r="1031">
          <cell r="A1031">
            <v>2.9481E-2</v>
          </cell>
        </row>
        <row r="1032">
          <cell r="A1032">
            <v>3.1460000000000002E-2</v>
          </cell>
        </row>
        <row r="1033">
          <cell r="A1033">
            <v>1.2413E-2</v>
          </cell>
        </row>
        <row r="1034">
          <cell r="A1034">
            <v>1.4942E-2</v>
          </cell>
        </row>
        <row r="1035">
          <cell r="A1035">
            <v>1.7746999999999999E-2</v>
          </cell>
        </row>
        <row r="1036">
          <cell r="A1036">
            <v>2.4701000000000001E-2</v>
          </cell>
        </row>
        <row r="1037">
          <cell r="A1037">
            <v>2.8403000000000001E-2</v>
          </cell>
        </row>
        <row r="1038">
          <cell r="A1038">
            <v>2.5822999999999999E-2</v>
          </cell>
        </row>
        <row r="1039">
          <cell r="A1039">
            <v>3.0116E-2</v>
          </cell>
        </row>
        <row r="1040">
          <cell r="A1040">
            <v>3.2043000000000002E-2</v>
          </cell>
        </row>
        <row r="1041">
          <cell r="A1041">
            <v>9.3679999999999996E-3</v>
          </cell>
        </row>
        <row r="1042">
          <cell r="A1042">
            <v>1.9296000000000001E-2</v>
          </cell>
        </row>
        <row r="1043">
          <cell r="A1043">
            <v>2.6875E-2</v>
          </cell>
        </row>
        <row r="1044">
          <cell r="A1044">
            <v>1.8041000000000001E-2</v>
          </cell>
        </row>
        <row r="1045">
          <cell r="A1045">
            <v>2.5055000000000001E-2</v>
          </cell>
        </row>
        <row r="1046">
          <cell r="A1046">
            <v>2.7591000000000001E-2</v>
          </cell>
        </row>
        <row r="1047">
          <cell r="A1047">
            <v>1.7044E-2</v>
          </cell>
        </row>
        <row r="1048">
          <cell r="A1048">
            <v>2.9158E-2</v>
          </cell>
        </row>
        <row r="1049">
          <cell r="A1049">
            <v>1.1254999999999999E-2</v>
          </cell>
        </row>
        <row r="1050">
          <cell r="A1050">
            <v>1.7025999999999999E-2</v>
          </cell>
        </row>
        <row r="1051">
          <cell r="A1051">
            <v>1.3063E-2</v>
          </cell>
        </row>
        <row r="1052">
          <cell r="A1052">
            <v>1.9175999999999999E-2</v>
          </cell>
        </row>
        <row r="1053">
          <cell r="A1053">
            <v>2.1208999999999999E-2</v>
          </cell>
        </row>
        <row r="1054">
          <cell r="A1054">
            <v>1.3691999999999999E-2</v>
          </cell>
        </row>
        <row r="1055">
          <cell r="A1055">
            <v>2.2504E-2</v>
          </cell>
        </row>
        <row r="1056">
          <cell r="A1056">
            <v>2.3324000000000001E-2</v>
          </cell>
        </row>
        <row r="1057">
          <cell r="A1057">
            <v>2.4856E-2</v>
          </cell>
        </row>
        <row r="1058">
          <cell r="A1058">
            <v>6.0860000000000003E-3</v>
          </cell>
        </row>
        <row r="1059">
          <cell r="A1059">
            <v>1.7037E-2</v>
          </cell>
        </row>
        <row r="1060">
          <cell r="A1060">
            <v>2.2558000000000002E-2</v>
          </cell>
        </row>
        <row r="1061">
          <cell r="A1061">
            <v>2.9020000000000001E-2</v>
          </cell>
        </row>
        <row r="1062">
          <cell r="A1062">
            <v>1.7912999999999998E-2</v>
          </cell>
        </row>
        <row r="1063">
          <cell r="A1063">
            <v>2.4951999999999998E-2</v>
          </cell>
        </row>
        <row r="1064">
          <cell r="A1064">
            <v>3.6145999999999998E-2</v>
          </cell>
        </row>
        <row r="1065">
          <cell r="A1065">
            <v>2.5149999999999999E-2</v>
          </cell>
        </row>
        <row r="1066">
          <cell r="A1066">
            <v>2.8074000000000002E-2</v>
          </cell>
        </row>
        <row r="1067">
          <cell r="A1067">
            <v>2.3852999999999999E-2</v>
          </cell>
        </row>
        <row r="1068">
          <cell r="A1068">
            <v>6.9480000000000002E-3</v>
          </cell>
        </row>
        <row r="1069">
          <cell r="A1069">
            <v>1.5207999999999999E-2</v>
          </cell>
        </row>
        <row r="1070">
          <cell r="A1070">
            <v>2.8558E-2</v>
          </cell>
        </row>
        <row r="1071">
          <cell r="A1071">
            <v>3.0294999999999999E-2</v>
          </cell>
        </row>
        <row r="1072">
          <cell r="A1072">
            <v>1.1370999999999999E-2</v>
          </cell>
        </row>
        <row r="1073">
          <cell r="A1073">
            <v>1.7142999999999999E-2</v>
          </cell>
        </row>
        <row r="1074">
          <cell r="A1074">
            <v>1.8352E-2</v>
          </cell>
        </row>
        <row r="1075">
          <cell r="A1075">
            <v>1.7417999999999999E-2</v>
          </cell>
        </row>
        <row r="1076">
          <cell r="A1076">
            <v>2.2682000000000001E-2</v>
          </cell>
        </row>
        <row r="1077">
          <cell r="A1077">
            <v>2.2522E-2</v>
          </cell>
        </row>
        <row r="1078">
          <cell r="A1078">
            <v>2.4742E-2</v>
          </cell>
        </row>
        <row r="1079">
          <cell r="A1079">
            <v>2.971E-2</v>
          </cell>
        </row>
        <row r="1080">
          <cell r="A1080">
            <v>3.6617999999999998E-2</v>
          </cell>
        </row>
        <row r="1081">
          <cell r="A1081">
            <v>1.4678E-2</v>
          </cell>
        </row>
        <row r="1082">
          <cell r="A1082">
            <v>2.2602000000000001E-2</v>
          </cell>
        </row>
        <row r="1083">
          <cell r="A1083">
            <v>2.5170999999999999E-2</v>
          </cell>
        </row>
        <row r="1084">
          <cell r="A1084">
            <v>2.6991999999999999E-2</v>
          </cell>
        </row>
        <row r="1085">
          <cell r="A1085">
            <v>3.0700000000000002E-2</v>
          </cell>
        </row>
        <row r="1086">
          <cell r="A1086">
            <v>2.3564999999999999E-2</v>
          </cell>
        </row>
        <row r="1087">
          <cell r="A1087">
            <v>1.4794E-2</v>
          </cell>
        </row>
        <row r="1088">
          <cell r="A1088">
            <v>2.6013000000000001E-2</v>
          </cell>
        </row>
        <row r="1089">
          <cell r="A1089">
            <v>1.1618E-2</v>
          </cell>
        </row>
        <row r="1090">
          <cell r="A1090">
            <v>2.6773000000000002E-2</v>
          </cell>
        </row>
        <row r="1091">
          <cell r="A1091">
            <v>1.1384E-2</v>
          </cell>
        </row>
        <row r="1092">
          <cell r="A1092">
            <v>2.1677999999999999E-2</v>
          </cell>
        </row>
        <row r="1093">
          <cell r="A1093">
            <v>2.5871000000000002E-2</v>
          </cell>
        </row>
        <row r="1094">
          <cell r="A1094">
            <v>1.9307999999999999E-2</v>
          </cell>
        </row>
        <row r="1095">
          <cell r="A1095">
            <v>1.9479E-2</v>
          </cell>
        </row>
        <row r="1096">
          <cell r="A1096">
            <v>1.469E-2</v>
          </cell>
        </row>
        <row r="1097">
          <cell r="A1097">
            <v>1.4929E-2</v>
          </cell>
        </row>
        <row r="1098">
          <cell r="A1098">
            <v>1.6885000000000001E-2</v>
          </cell>
        </row>
        <row r="1099">
          <cell r="A1099">
            <v>2.0114E-2</v>
          </cell>
        </row>
        <row r="1100">
          <cell r="A1100">
            <v>2.4257999999999998E-2</v>
          </cell>
        </row>
        <row r="1101">
          <cell r="A1101">
            <v>6.927E-3</v>
          </cell>
        </row>
        <row r="1102">
          <cell r="A1102">
            <v>1.6472000000000001E-2</v>
          </cell>
        </row>
        <row r="1103">
          <cell r="A1103">
            <v>2.2669999999999999E-2</v>
          </cell>
        </row>
        <row r="1104">
          <cell r="A1104">
            <v>2.6099000000000001E-2</v>
          </cell>
        </row>
        <row r="1105">
          <cell r="A1105">
            <v>2.7283999999999999E-2</v>
          </cell>
        </row>
        <row r="1106">
          <cell r="A1106">
            <v>1.5535999999999999E-2</v>
          </cell>
        </row>
        <row r="1107">
          <cell r="A1107">
            <v>2.2780999999999999E-2</v>
          </cell>
        </row>
        <row r="1108">
          <cell r="A1108">
            <v>2.3647000000000001E-2</v>
          </cell>
        </row>
        <row r="1109">
          <cell r="A1109">
            <v>2.3973999999999999E-2</v>
          </cell>
        </row>
        <row r="1110">
          <cell r="A1110">
            <v>1.3757999999999999E-2</v>
          </cell>
        </row>
        <row r="1111">
          <cell r="A1111">
            <v>1.8867999999999999E-2</v>
          </cell>
        </row>
        <row r="1112">
          <cell r="A1112">
            <v>2.2232999999999999E-2</v>
          </cell>
        </row>
        <row r="1113">
          <cell r="A1113">
            <v>2.1179E-2</v>
          </cell>
        </row>
        <row r="1114">
          <cell r="A1114">
            <v>2.4719999999999999E-2</v>
          </cell>
        </row>
        <row r="1115">
          <cell r="A1115">
            <v>6.999E-3</v>
          </cell>
        </row>
        <row r="1116">
          <cell r="A1116">
            <v>2.7149E-2</v>
          </cell>
        </row>
        <row r="1117">
          <cell r="A1117">
            <v>3.1175999999999999E-2</v>
          </cell>
        </row>
        <row r="1118">
          <cell r="A1118">
            <v>8.2039999999999995E-3</v>
          </cell>
        </row>
        <row r="1119">
          <cell r="A1119">
            <v>2.7536000000000001E-2</v>
          </cell>
        </row>
        <row r="1120">
          <cell r="A1120">
            <v>7.7400000000000004E-3</v>
          </cell>
        </row>
        <row r="1121">
          <cell r="A1121">
            <v>1.5458E-2</v>
          </cell>
        </row>
        <row r="1122">
          <cell r="A1122">
            <v>1.8897000000000001E-2</v>
          </cell>
        </row>
        <row r="1123">
          <cell r="A1123">
            <v>2.5193E-2</v>
          </cell>
        </row>
        <row r="1124">
          <cell r="A1124">
            <v>1.3268E-2</v>
          </cell>
        </row>
        <row r="1125">
          <cell r="A1125">
            <v>8.3059999999999991E-3</v>
          </cell>
        </row>
        <row r="1126">
          <cell r="A1126">
            <v>1.6181999999999998E-2</v>
          </cell>
        </row>
        <row r="1127">
          <cell r="A1127">
            <v>1.7611999999999999E-2</v>
          </cell>
        </row>
        <row r="1128">
          <cell r="A1128">
            <v>1.8473E-2</v>
          </cell>
        </row>
        <row r="1129">
          <cell r="A1129">
            <v>2.2813E-2</v>
          </cell>
        </row>
        <row r="1130">
          <cell r="A1130">
            <v>2.5644E-2</v>
          </cell>
        </row>
        <row r="1131">
          <cell r="A1131">
            <v>1.5114000000000001E-2</v>
          </cell>
        </row>
        <row r="1132">
          <cell r="A1132">
            <v>1.6636000000000001E-2</v>
          </cell>
        </row>
        <row r="1133">
          <cell r="A1133">
            <v>1.9397000000000001E-2</v>
          </cell>
        </row>
        <row r="1134">
          <cell r="A1134">
            <v>1.3054E-2</v>
          </cell>
        </row>
        <row r="1135">
          <cell r="A1135">
            <v>1.7083999999999998E-2</v>
          </cell>
        </row>
        <row r="1136">
          <cell r="A1136">
            <v>1.5028E-2</v>
          </cell>
        </row>
        <row r="1137">
          <cell r="A1137">
            <v>2.3248000000000001E-2</v>
          </cell>
        </row>
        <row r="1138">
          <cell r="A1138">
            <v>2.8358000000000001E-2</v>
          </cell>
        </row>
        <row r="1139">
          <cell r="A1139">
            <v>1.9372E-2</v>
          </cell>
        </row>
        <row r="1140">
          <cell r="A1140">
            <v>1.7815999999999999E-2</v>
          </cell>
        </row>
        <row r="1141">
          <cell r="A1141">
            <v>2.0129999999999999E-2</v>
          </cell>
        </row>
        <row r="1142">
          <cell r="A1142">
            <v>3.3975999999999999E-2</v>
          </cell>
        </row>
        <row r="1143">
          <cell r="A1143">
            <v>1.6303999999999999E-2</v>
          </cell>
        </row>
        <row r="1144">
          <cell r="A1144">
            <v>1.8828000000000001E-2</v>
          </cell>
        </row>
        <row r="1145">
          <cell r="A1145">
            <v>1.7208000000000001E-2</v>
          </cell>
        </row>
        <row r="1146">
          <cell r="A1146">
            <v>1.7888999999999999E-2</v>
          </cell>
        </row>
        <row r="1147">
          <cell r="A1147">
            <v>2.9034999999999998E-2</v>
          </cell>
        </row>
        <row r="1148">
          <cell r="A1148">
            <v>1.9855000000000001E-2</v>
          </cell>
        </row>
        <row r="1149">
          <cell r="A1149">
            <v>2.4729000000000001E-2</v>
          </cell>
        </row>
        <row r="1150">
          <cell r="A1150">
            <v>2.8534E-2</v>
          </cell>
        </row>
        <row r="1151">
          <cell r="A1151">
            <v>1.7159000000000001E-2</v>
          </cell>
        </row>
        <row r="1152">
          <cell r="A1152">
            <v>2.8407999999999999E-2</v>
          </cell>
        </row>
        <row r="1153">
          <cell r="A1153">
            <v>3.2995999999999998E-2</v>
          </cell>
        </row>
        <row r="1154">
          <cell r="A1154">
            <v>2.9287000000000001E-2</v>
          </cell>
        </row>
        <row r="1155">
          <cell r="A1155">
            <v>1.5428000000000001E-2</v>
          </cell>
        </row>
        <row r="1156">
          <cell r="A1156">
            <v>1.6011000000000001E-2</v>
          </cell>
        </row>
        <row r="1157">
          <cell r="A1157">
            <v>2.4511999999999999E-2</v>
          </cell>
        </row>
        <row r="1158">
          <cell r="A1158">
            <v>2.6540999999999999E-2</v>
          </cell>
        </row>
        <row r="1159">
          <cell r="A1159">
            <v>8.6700000000000006E-3</v>
          </cell>
        </row>
        <row r="1160">
          <cell r="A1160">
            <v>2.9892999999999999E-2</v>
          </cell>
        </row>
        <row r="1161">
          <cell r="A1161">
            <v>1.1362000000000001E-2</v>
          </cell>
        </row>
        <row r="1162">
          <cell r="A1162">
            <v>1.9887999999999999E-2</v>
          </cell>
        </row>
        <row r="1163">
          <cell r="A1163">
            <v>2.4622000000000002E-2</v>
          </cell>
        </row>
        <row r="1164">
          <cell r="A1164">
            <v>2.9902000000000001E-2</v>
          </cell>
        </row>
        <row r="1165">
          <cell r="A1165">
            <v>1.0083999999999999E-2</v>
          </cell>
        </row>
        <row r="1166">
          <cell r="A1166">
            <v>1.4180999999999999E-2</v>
          </cell>
        </row>
        <row r="1167">
          <cell r="A1167">
            <v>2.3452000000000001E-2</v>
          </cell>
        </row>
        <row r="1168">
          <cell r="A1168">
            <v>3.2056000000000001E-2</v>
          </cell>
        </row>
        <row r="1169">
          <cell r="A1169">
            <v>3.5339000000000002E-2</v>
          </cell>
        </row>
        <row r="1170">
          <cell r="A1170">
            <v>1.549E-2</v>
          </cell>
        </row>
        <row r="1171">
          <cell r="A1171">
            <v>2.1607000000000001E-2</v>
          </cell>
        </row>
        <row r="1172">
          <cell r="A1172">
            <v>2.9829999999999999E-2</v>
          </cell>
        </row>
        <row r="1173">
          <cell r="A1173">
            <v>3.6655E-2</v>
          </cell>
        </row>
        <row r="1174">
          <cell r="A1174">
            <v>1.9127999999999999E-2</v>
          </cell>
        </row>
        <row r="1175">
          <cell r="A1175">
            <v>1.3391999999999999E-2</v>
          </cell>
        </row>
        <row r="1176">
          <cell r="A1176">
            <v>1.6063000000000001E-2</v>
          </cell>
        </row>
        <row r="1177">
          <cell r="A1177">
            <v>2.2253999999999999E-2</v>
          </cell>
        </row>
        <row r="1178">
          <cell r="A1178">
            <v>8.6910000000000008E-3</v>
          </cell>
        </row>
        <row r="1179">
          <cell r="A1179">
            <v>9.103E-3</v>
          </cell>
        </row>
        <row r="1180">
          <cell r="A1180">
            <v>1.9553000000000001E-2</v>
          </cell>
        </row>
        <row r="1181">
          <cell r="A1181">
            <v>1.3239000000000001E-2</v>
          </cell>
        </row>
        <row r="1182">
          <cell r="A1182">
            <v>2.0622000000000001E-2</v>
          </cell>
        </row>
        <row r="1183">
          <cell r="A1183">
            <v>6.9940000000000002E-3</v>
          </cell>
        </row>
        <row r="1184">
          <cell r="A1184">
            <v>1.6143000000000001E-2</v>
          </cell>
        </row>
        <row r="1185">
          <cell r="A1185">
            <v>1.7999999999999999E-2</v>
          </cell>
        </row>
        <row r="1186">
          <cell r="A1186">
            <v>2.8830999999999999E-2</v>
          </cell>
        </row>
        <row r="1187">
          <cell r="A1187">
            <v>2.1100000000000001E-2</v>
          </cell>
        </row>
        <row r="1188">
          <cell r="A1188">
            <v>3.2131E-2</v>
          </cell>
        </row>
        <row r="1189">
          <cell r="A1189">
            <v>7.3270000000000002E-3</v>
          </cell>
        </row>
        <row r="1190">
          <cell r="A1190">
            <v>1.9078000000000001E-2</v>
          </cell>
        </row>
        <row r="1191">
          <cell r="A1191">
            <v>3.2467999999999997E-2</v>
          </cell>
        </row>
        <row r="1192">
          <cell r="A1192">
            <v>1.6822E-2</v>
          </cell>
        </row>
        <row r="1193">
          <cell r="A1193">
            <v>1.8068000000000001E-2</v>
          </cell>
        </row>
        <row r="1194">
          <cell r="A1194">
            <v>2.2061999999999998E-2</v>
          </cell>
        </row>
        <row r="1195">
          <cell r="A1195">
            <v>2.215E-2</v>
          </cell>
        </row>
        <row r="1196">
          <cell r="A1196">
            <v>5.2859999999999999E-3</v>
          </cell>
        </row>
        <row r="1197">
          <cell r="A1197">
            <v>1.2439E-2</v>
          </cell>
        </row>
        <row r="1198">
          <cell r="A1198">
            <v>2.6710999999999999E-2</v>
          </cell>
        </row>
        <row r="1199">
          <cell r="A1199">
            <v>2.7293999999999999E-2</v>
          </cell>
        </row>
        <row r="1200">
          <cell r="A1200">
            <v>2.9128999999999999E-2</v>
          </cell>
        </row>
        <row r="1201">
          <cell r="A1201">
            <v>3.2530999999999997E-2</v>
          </cell>
        </row>
        <row r="1202">
          <cell r="A1202">
            <v>1.3696E-2</v>
          </cell>
        </row>
        <row r="1203">
          <cell r="A1203">
            <v>2.4799999999999999E-2</v>
          </cell>
        </row>
        <row r="1204">
          <cell r="A1204">
            <v>2.6846999999999999E-2</v>
          </cell>
        </row>
        <row r="1205">
          <cell r="A1205">
            <v>2.7116000000000001E-2</v>
          </cell>
        </row>
        <row r="1206">
          <cell r="A1206">
            <v>1.8369E-2</v>
          </cell>
        </row>
        <row r="1207">
          <cell r="A1207">
            <v>8.8929999999999999E-3</v>
          </cell>
        </row>
        <row r="1208">
          <cell r="A1208">
            <v>1.6596E-2</v>
          </cell>
        </row>
        <row r="1209">
          <cell r="A1209">
            <v>2.0478E-2</v>
          </cell>
        </row>
        <row r="1210">
          <cell r="A1210">
            <v>2.1061E-2</v>
          </cell>
        </row>
        <row r="1211">
          <cell r="A1211">
            <v>2.4216999999999999E-2</v>
          </cell>
        </row>
        <row r="1212">
          <cell r="A1212">
            <v>3.2321000000000003E-2</v>
          </cell>
        </row>
        <row r="1213">
          <cell r="A1213">
            <v>1.1939E-2</v>
          </cell>
        </row>
        <row r="1214">
          <cell r="A1214">
            <v>1.222E-2</v>
          </cell>
        </row>
        <row r="1215">
          <cell r="A1215">
            <v>6.1599999999999997E-3</v>
          </cell>
        </row>
        <row r="1216">
          <cell r="A1216">
            <v>1.235E-2</v>
          </cell>
        </row>
        <row r="1217">
          <cell r="A1217">
            <v>1.1665E-2</v>
          </cell>
        </row>
        <row r="1218">
          <cell r="A1218">
            <v>2.4813999999999999E-2</v>
          </cell>
        </row>
        <row r="1219">
          <cell r="A1219">
            <v>2.2054000000000001E-2</v>
          </cell>
        </row>
        <row r="1220">
          <cell r="A1220">
            <v>3.2441999999999999E-2</v>
          </cell>
        </row>
        <row r="1221">
          <cell r="A1221">
            <v>1.9196000000000001E-2</v>
          </cell>
        </row>
        <row r="1222">
          <cell r="A1222">
            <v>2.0048E-2</v>
          </cell>
        </row>
        <row r="1223">
          <cell r="A1223">
            <v>2.181E-2</v>
          </cell>
        </row>
        <row r="1224">
          <cell r="A1224">
            <v>2.5971999999999999E-2</v>
          </cell>
        </row>
        <row r="1225">
          <cell r="A1225">
            <v>2.8482E-2</v>
          </cell>
        </row>
        <row r="1226">
          <cell r="A1226">
            <v>1.932E-2</v>
          </cell>
        </row>
        <row r="1227">
          <cell r="A1227">
            <v>2.4534E-2</v>
          </cell>
        </row>
        <row r="1228">
          <cell r="A1228">
            <v>1.6704E-2</v>
          </cell>
        </row>
        <row r="1229">
          <cell r="A1229">
            <v>2.3195E-2</v>
          </cell>
        </row>
        <row r="1230">
          <cell r="A1230">
            <v>2.8042000000000001E-2</v>
          </cell>
        </row>
        <row r="1231">
          <cell r="A1231">
            <v>5.483E-3</v>
          </cell>
        </row>
        <row r="1232">
          <cell r="A1232">
            <v>9.1520000000000004E-3</v>
          </cell>
        </row>
        <row r="1233">
          <cell r="A1233">
            <v>1.6219000000000001E-2</v>
          </cell>
        </row>
        <row r="1234">
          <cell r="A1234">
            <v>2.4052E-2</v>
          </cell>
        </row>
        <row r="1235">
          <cell r="A1235">
            <v>2.4206999999999999E-2</v>
          </cell>
        </row>
        <row r="1236">
          <cell r="A1236">
            <v>6.6620000000000004E-3</v>
          </cell>
        </row>
        <row r="1237">
          <cell r="A1237">
            <v>1.7798000000000001E-2</v>
          </cell>
        </row>
        <row r="1238">
          <cell r="A1238">
            <v>3.6038000000000001E-2</v>
          </cell>
        </row>
        <row r="1239">
          <cell r="A1239">
            <v>1.1957000000000001E-2</v>
          </cell>
        </row>
        <row r="1240">
          <cell r="A1240">
            <v>1.4114E-2</v>
          </cell>
        </row>
        <row r="1241">
          <cell r="A1241">
            <v>1.7680999999999999E-2</v>
          </cell>
        </row>
        <row r="1242">
          <cell r="A1242">
            <v>2.5155E-2</v>
          </cell>
        </row>
        <row r="1243">
          <cell r="A1243">
            <v>2.9638000000000001E-2</v>
          </cell>
        </row>
        <row r="1244">
          <cell r="A1244">
            <v>1.5237000000000001E-2</v>
          </cell>
        </row>
        <row r="1245">
          <cell r="A1245">
            <v>1.5681E-2</v>
          </cell>
        </row>
        <row r="1246">
          <cell r="A1246">
            <v>1.8287000000000001E-2</v>
          </cell>
        </row>
        <row r="1247">
          <cell r="A1247">
            <v>2.4111E-2</v>
          </cell>
        </row>
        <row r="1248">
          <cell r="A1248">
            <v>2.5659000000000001E-2</v>
          </cell>
        </row>
        <row r="1249">
          <cell r="A1249">
            <v>3.1210999999999999E-2</v>
          </cell>
        </row>
        <row r="1250">
          <cell r="A1250">
            <v>1.4135999999999999E-2</v>
          </cell>
        </row>
        <row r="1251">
          <cell r="A1251">
            <v>2.2744E-2</v>
          </cell>
        </row>
        <row r="1252">
          <cell r="A1252">
            <v>2.6360000000000001E-2</v>
          </cell>
        </row>
        <row r="1253">
          <cell r="A1253">
            <v>1.7906999999999999E-2</v>
          </cell>
        </row>
        <row r="1254">
          <cell r="A1254">
            <v>2.2164E-2</v>
          </cell>
        </row>
        <row r="1255">
          <cell r="A1255">
            <v>2.2875E-2</v>
          </cell>
        </row>
        <row r="1256">
          <cell r="A1256">
            <v>2.7913E-2</v>
          </cell>
        </row>
        <row r="1257">
          <cell r="A1257">
            <v>2.5592E-2</v>
          </cell>
        </row>
        <row r="1258">
          <cell r="A1258">
            <v>2.7522999999999999E-2</v>
          </cell>
        </row>
        <row r="1259">
          <cell r="A1259">
            <v>5.9519999999999998E-3</v>
          </cell>
        </row>
        <row r="1260">
          <cell r="A1260">
            <v>1.1301E-2</v>
          </cell>
        </row>
        <row r="1261">
          <cell r="A1261">
            <v>1.3525000000000001E-2</v>
          </cell>
        </row>
        <row r="1262">
          <cell r="A1262">
            <v>2.1191999999999999E-2</v>
          </cell>
        </row>
        <row r="1263">
          <cell r="A1263">
            <v>2.6442E-2</v>
          </cell>
        </row>
        <row r="1264">
          <cell r="A1264">
            <v>2.8185999999999999E-2</v>
          </cell>
        </row>
        <row r="1265">
          <cell r="A1265">
            <v>1.3962E-2</v>
          </cell>
        </row>
        <row r="1266">
          <cell r="A1266">
            <v>1.7270000000000001E-2</v>
          </cell>
        </row>
        <row r="1267">
          <cell r="A1267">
            <v>2.4587999999999999E-2</v>
          </cell>
        </row>
        <row r="1268">
          <cell r="A1268">
            <v>3.5145000000000003E-2</v>
          </cell>
        </row>
        <row r="1269">
          <cell r="A1269">
            <v>6.7010000000000004E-3</v>
          </cell>
        </row>
        <row r="1270">
          <cell r="A1270">
            <v>2.4614E-2</v>
          </cell>
        </row>
        <row r="1271">
          <cell r="A1271">
            <v>2.4875999999999999E-2</v>
          </cell>
        </row>
        <row r="1272">
          <cell r="A1272">
            <v>1.8704999999999999E-2</v>
          </cell>
        </row>
        <row r="1273">
          <cell r="A1273">
            <v>2.3401000000000002E-2</v>
          </cell>
        </row>
        <row r="1274">
          <cell r="A1274">
            <v>7.0190000000000001E-3</v>
          </cell>
        </row>
        <row r="1275">
          <cell r="A1275">
            <v>1.2148000000000001E-2</v>
          </cell>
        </row>
        <row r="1276">
          <cell r="A1276">
            <v>1.7239999999999998E-2</v>
          </cell>
        </row>
        <row r="1277">
          <cell r="A1277">
            <v>2.2366E-2</v>
          </cell>
        </row>
        <row r="1278">
          <cell r="A1278">
            <v>5.1190000000000003E-3</v>
          </cell>
        </row>
        <row r="1279">
          <cell r="A1279">
            <v>2.0587000000000001E-2</v>
          </cell>
        </row>
        <row r="1280">
          <cell r="A1280">
            <v>2.3535E-2</v>
          </cell>
        </row>
        <row r="1281">
          <cell r="A1281">
            <v>3.5143000000000001E-2</v>
          </cell>
        </row>
        <row r="1282">
          <cell r="A1282">
            <v>6.9210000000000001E-3</v>
          </cell>
        </row>
        <row r="1283">
          <cell r="A1283">
            <v>1.6364E-2</v>
          </cell>
        </row>
        <row r="1284">
          <cell r="A1284">
            <v>2.4490000000000001E-2</v>
          </cell>
        </row>
        <row r="1285">
          <cell r="A1285">
            <v>2.6020000000000001E-2</v>
          </cell>
        </row>
        <row r="1286">
          <cell r="A1286">
            <v>6.8999999999999999E-3</v>
          </cell>
        </row>
        <row r="1287">
          <cell r="A1287">
            <v>2.2703999999999998E-2</v>
          </cell>
        </row>
        <row r="1288">
          <cell r="A1288">
            <v>2.9735000000000001E-2</v>
          </cell>
        </row>
        <row r="1289">
          <cell r="A1289">
            <v>6.1789999999999996E-3</v>
          </cell>
        </row>
        <row r="1290">
          <cell r="A1290">
            <v>1.8525E-2</v>
          </cell>
        </row>
        <row r="1291">
          <cell r="A1291">
            <v>2.3095000000000001E-2</v>
          </cell>
        </row>
        <row r="1292">
          <cell r="A1292">
            <v>1.9532000000000001E-2</v>
          </cell>
        </row>
        <row r="1293">
          <cell r="A1293">
            <v>2.8246E-2</v>
          </cell>
        </row>
        <row r="1294">
          <cell r="A1294">
            <v>1.8474000000000001E-2</v>
          </cell>
        </row>
        <row r="1295">
          <cell r="A1295">
            <v>6.5539999999999999E-3</v>
          </cell>
        </row>
        <row r="1296">
          <cell r="A1296">
            <v>1.3561999999999999E-2</v>
          </cell>
        </row>
        <row r="1297">
          <cell r="A1297">
            <v>2.9699E-2</v>
          </cell>
        </row>
        <row r="1298">
          <cell r="A1298">
            <v>2.5222999999999999E-2</v>
          </cell>
        </row>
        <row r="1299">
          <cell r="A1299">
            <v>1.0834999999999999E-2</v>
          </cell>
        </row>
        <row r="1300">
          <cell r="A1300">
            <v>1.9238999999999999E-2</v>
          </cell>
        </row>
        <row r="1301">
          <cell r="A1301">
            <v>2.2596999999999999E-2</v>
          </cell>
        </row>
        <row r="1302">
          <cell r="A1302">
            <v>2.8731E-2</v>
          </cell>
        </row>
        <row r="1303">
          <cell r="A1303">
            <v>2.3276999999999999E-2</v>
          </cell>
        </row>
        <row r="1304">
          <cell r="A1304">
            <v>2.4452000000000002E-2</v>
          </cell>
        </row>
        <row r="1305">
          <cell r="A1305">
            <v>1.1117E-2</v>
          </cell>
        </row>
        <row r="1306">
          <cell r="A1306">
            <v>2.2477E-2</v>
          </cell>
        </row>
        <row r="1307">
          <cell r="A1307">
            <v>2.3821999999999999E-2</v>
          </cell>
        </row>
        <row r="1308">
          <cell r="A1308">
            <v>1.141E-2</v>
          </cell>
        </row>
        <row r="1309">
          <cell r="A1309">
            <v>1.9848999999999999E-2</v>
          </cell>
        </row>
        <row r="1310">
          <cell r="A1310">
            <v>2.9746999999999999E-2</v>
          </cell>
        </row>
        <row r="1311">
          <cell r="A1311">
            <v>2.477E-2</v>
          </cell>
        </row>
        <row r="1312">
          <cell r="A1312">
            <v>2.5125999999999999E-2</v>
          </cell>
        </row>
        <row r="1313">
          <cell r="A1313">
            <v>2.6209E-2</v>
          </cell>
        </row>
        <row r="1314">
          <cell r="A1314">
            <v>1.1107000000000001E-2</v>
          </cell>
        </row>
        <row r="1315">
          <cell r="A1315">
            <v>1.5191E-2</v>
          </cell>
        </row>
        <row r="1316">
          <cell r="A1316">
            <v>2.0670000000000001E-2</v>
          </cell>
        </row>
        <row r="1317">
          <cell r="A1317">
            <v>2.1693E-2</v>
          </cell>
        </row>
        <row r="1318">
          <cell r="A1318">
            <v>2.4695000000000002E-2</v>
          </cell>
        </row>
        <row r="1319">
          <cell r="A1319">
            <v>1.3135000000000001E-2</v>
          </cell>
        </row>
        <row r="1320">
          <cell r="A1320">
            <v>1.7963E-2</v>
          </cell>
        </row>
        <row r="1321">
          <cell r="A1321">
            <v>2.8639000000000001E-2</v>
          </cell>
        </row>
        <row r="1322">
          <cell r="A1322">
            <v>1.8380000000000001E-2</v>
          </cell>
        </row>
        <row r="1323">
          <cell r="A1323">
            <v>2.3497000000000001E-2</v>
          </cell>
        </row>
        <row r="1324">
          <cell r="A1324">
            <v>2.6107999999999999E-2</v>
          </cell>
        </row>
        <row r="1325">
          <cell r="A1325">
            <v>1.2333E-2</v>
          </cell>
        </row>
        <row r="1326">
          <cell r="A1326">
            <v>9.9710000000000007E-3</v>
          </cell>
        </row>
        <row r="1327">
          <cell r="A1327">
            <v>2.3605000000000001E-2</v>
          </cell>
        </row>
        <row r="1328">
          <cell r="A1328">
            <v>3.1491999999999999E-2</v>
          </cell>
        </row>
        <row r="1329">
          <cell r="A1329">
            <v>1.4126E-2</v>
          </cell>
        </row>
        <row r="1330">
          <cell r="A1330">
            <v>2.4794E-2</v>
          </cell>
        </row>
        <row r="1331">
          <cell r="A1331">
            <v>2.1344999999999999E-2</v>
          </cell>
        </row>
        <row r="1332">
          <cell r="A1332">
            <v>1.2685999999999999E-2</v>
          </cell>
        </row>
        <row r="1333">
          <cell r="A1333">
            <v>1.436E-2</v>
          </cell>
        </row>
        <row r="1334">
          <cell r="A1334">
            <v>1.7776E-2</v>
          </cell>
        </row>
        <row r="1335">
          <cell r="A1335">
            <v>2.2672999999999999E-2</v>
          </cell>
        </row>
        <row r="1336">
          <cell r="A1336">
            <v>2.281E-2</v>
          </cell>
        </row>
        <row r="1337">
          <cell r="A1337">
            <v>2.8773E-2</v>
          </cell>
        </row>
        <row r="1338">
          <cell r="A1338">
            <v>2.5575000000000001E-2</v>
          </cell>
        </row>
        <row r="1339">
          <cell r="A1339">
            <v>1.6771000000000001E-2</v>
          </cell>
        </row>
        <row r="1340">
          <cell r="A1340">
            <v>1.8391999999999999E-2</v>
          </cell>
        </row>
        <row r="1341">
          <cell r="A1341">
            <v>2.479E-2</v>
          </cell>
        </row>
        <row r="1342">
          <cell r="A1342">
            <v>1.7468999999999998E-2</v>
          </cell>
        </row>
        <row r="1343">
          <cell r="A1343">
            <v>2.2981000000000001E-2</v>
          </cell>
        </row>
        <row r="1344">
          <cell r="A1344">
            <v>2.4570000000000002E-2</v>
          </cell>
        </row>
        <row r="1345">
          <cell r="A1345">
            <v>2.5571E-2</v>
          </cell>
        </row>
        <row r="1346">
          <cell r="A1346">
            <v>2.8583999999999998E-2</v>
          </cell>
        </row>
        <row r="1347">
          <cell r="A1347">
            <v>1.4914999999999999E-2</v>
          </cell>
        </row>
        <row r="1348">
          <cell r="A1348">
            <v>1.1861999999999999E-2</v>
          </cell>
        </row>
        <row r="1349">
          <cell r="A1349">
            <v>2.7143E-2</v>
          </cell>
        </row>
        <row r="1350">
          <cell r="A1350">
            <v>1.3726E-2</v>
          </cell>
        </row>
        <row r="1351">
          <cell r="A1351">
            <v>1.6899999999999998E-2</v>
          </cell>
        </row>
        <row r="1352">
          <cell r="A1352">
            <v>3.1784E-2</v>
          </cell>
        </row>
        <row r="1353">
          <cell r="A1353">
            <v>1.5441E-2</v>
          </cell>
        </row>
        <row r="1354">
          <cell r="A1354">
            <v>2.2377999999999999E-2</v>
          </cell>
        </row>
        <row r="1355">
          <cell r="A1355">
            <v>2.3588000000000001E-2</v>
          </cell>
        </row>
        <row r="1356">
          <cell r="A1356">
            <v>6.9259999999999999E-3</v>
          </cell>
        </row>
        <row r="1357">
          <cell r="A1357">
            <v>1.6025000000000001E-2</v>
          </cell>
        </row>
        <row r="1358">
          <cell r="A1358">
            <v>2.0756E-2</v>
          </cell>
        </row>
        <row r="1359">
          <cell r="A1359">
            <v>2.7503E-2</v>
          </cell>
        </row>
        <row r="1360">
          <cell r="A1360">
            <v>1.0543E-2</v>
          </cell>
        </row>
        <row r="1361">
          <cell r="A1361">
            <v>7.3509999999999999E-3</v>
          </cell>
        </row>
        <row r="1362">
          <cell r="A1362">
            <v>1.5923E-2</v>
          </cell>
        </row>
        <row r="1363">
          <cell r="A1363">
            <v>1.9556E-2</v>
          </cell>
        </row>
        <row r="1364">
          <cell r="A1364">
            <v>2.1368999999999999E-2</v>
          </cell>
        </row>
        <row r="1365">
          <cell r="A1365">
            <v>2.4029999999999999E-2</v>
          </cell>
        </row>
        <row r="1366">
          <cell r="A1366">
            <v>2.5432E-2</v>
          </cell>
        </row>
        <row r="1367">
          <cell r="A1367">
            <v>2.5558000000000001E-2</v>
          </cell>
        </row>
        <row r="1368">
          <cell r="A1368">
            <v>2.4761999999999999E-2</v>
          </cell>
        </row>
        <row r="1369">
          <cell r="A1369">
            <v>1.1393E-2</v>
          </cell>
        </row>
        <row r="1370">
          <cell r="A1370">
            <v>1.3943000000000001E-2</v>
          </cell>
        </row>
        <row r="1371">
          <cell r="A1371">
            <v>1.5640999999999999E-2</v>
          </cell>
        </row>
        <row r="1372">
          <cell r="A1372">
            <v>2.0577999999999999E-2</v>
          </cell>
        </row>
        <row r="1373">
          <cell r="A1373">
            <v>2.2720000000000001E-2</v>
          </cell>
        </row>
        <row r="1374">
          <cell r="A1374">
            <v>2.5925E-2</v>
          </cell>
        </row>
        <row r="1375">
          <cell r="A1375">
            <v>2.7373999999999999E-2</v>
          </cell>
        </row>
        <row r="1376">
          <cell r="A1376">
            <v>3.4245999999999999E-2</v>
          </cell>
        </row>
        <row r="1377">
          <cell r="A1377">
            <v>2.6209E-2</v>
          </cell>
        </row>
        <row r="1378">
          <cell r="A1378">
            <v>2.6907E-2</v>
          </cell>
        </row>
        <row r="1379">
          <cell r="A1379">
            <v>3.0508E-2</v>
          </cell>
        </row>
        <row r="1380">
          <cell r="A1380">
            <v>1.3140000000000001E-2</v>
          </cell>
        </row>
        <row r="1381">
          <cell r="A1381">
            <v>1.4508999999999999E-2</v>
          </cell>
        </row>
        <row r="1382">
          <cell r="A1382">
            <v>1.7559000000000002E-2</v>
          </cell>
        </row>
        <row r="1383">
          <cell r="A1383">
            <v>1.7797E-2</v>
          </cell>
        </row>
        <row r="1384">
          <cell r="A1384">
            <v>2.4997999999999999E-2</v>
          </cell>
        </row>
        <row r="1385">
          <cell r="A1385">
            <v>1.6289999999999999E-2</v>
          </cell>
        </row>
        <row r="1386">
          <cell r="A1386">
            <v>2.4885999999999998E-2</v>
          </cell>
        </row>
        <row r="1387">
          <cell r="A1387">
            <v>2.9221E-2</v>
          </cell>
        </row>
        <row r="1388">
          <cell r="A1388">
            <v>1.6723999999999999E-2</v>
          </cell>
        </row>
        <row r="1389">
          <cell r="A1389">
            <v>1.7797E-2</v>
          </cell>
        </row>
        <row r="1390">
          <cell r="A1390">
            <v>1.6614E-2</v>
          </cell>
        </row>
        <row r="1391">
          <cell r="A1391">
            <v>2.7189999999999999E-2</v>
          </cell>
        </row>
        <row r="1392">
          <cell r="A1392">
            <v>5.3350000000000003E-3</v>
          </cell>
        </row>
        <row r="1393">
          <cell r="A1393">
            <v>1.2319999999999999E-2</v>
          </cell>
        </row>
        <row r="1394">
          <cell r="A1394">
            <v>2.3899E-2</v>
          </cell>
        </row>
        <row r="1395">
          <cell r="A1395">
            <v>1.7059999999999999E-2</v>
          </cell>
        </row>
        <row r="1396">
          <cell r="A1396">
            <v>1.8478999999999999E-2</v>
          </cell>
        </row>
        <row r="1397">
          <cell r="A1397">
            <v>1.9036000000000001E-2</v>
          </cell>
        </row>
        <row r="1398">
          <cell r="A1398">
            <v>2.1579999999999998E-2</v>
          </cell>
        </row>
        <row r="1399">
          <cell r="A1399">
            <v>2.2804999999999999E-2</v>
          </cell>
        </row>
        <row r="1400">
          <cell r="A1400">
            <v>2.0424000000000001E-2</v>
          </cell>
        </row>
        <row r="1401">
          <cell r="A1401">
            <v>1.5758000000000001E-2</v>
          </cell>
        </row>
        <row r="1402">
          <cell r="A1402">
            <v>2.6370000000000001E-2</v>
          </cell>
        </row>
        <row r="1403">
          <cell r="A1403">
            <v>3.1186999999999999E-2</v>
          </cell>
        </row>
        <row r="1404">
          <cell r="A1404">
            <v>2.7571999999999999E-2</v>
          </cell>
        </row>
        <row r="1405">
          <cell r="A1405">
            <v>1.6781999999999998E-2</v>
          </cell>
        </row>
        <row r="1406">
          <cell r="A1406">
            <v>2.4060000000000002E-2</v>
          </cell>
        </row>
        <row r="1407">
          <cell r="A1407">
            <v>1.4617E-2</v>
          </cell>
        </row>
        <row r="1408">
          <cell r="A1408">
            <v>1.8109E-2</v>
          </cell>
        </row>
        <row r="1409">
          <cell r="A1409">
            <v>2.4368000000000001E-2</v>
          </cell>
        </row>
        <row r="1410">
          <cell r="A1410">
            <v>1.9983999999999998E-2</v>
          </cell>
        </row>
        <row r="1411">
          <cell r="A1411">
            <v>2.4024E-2</v>
          </cell>
        </row>
        <row r="1412">
          <cell r="A1412">
            <v>8.0579999999999992E-3</v>
          </cell>
        </row>
        <row r="1413">
          <cell r="A1413">
            <v>2.0251999999999999E-2</v>
          </cell>
        </row>
        <row r="1414">
          <cell r="A1414">
            <v>1.7349E-2</v>
          </cell>
        </row>
        <row r="1415">
          <cell r="A1415">
            <v>2.7390999999999999E-2</v>
          </cell>
        </row>
        <row r="1416">
          <cell r="A1416">
            <v>2.2263000000000002E-2</v>
          </cell>
        </row>
        <row r="1417">
          <cell r="A1417">
            <v>2.8117E-2</v>
          </cell>
        </row>
        <row r="1418">
          <cell r="A1418">
            <v>1.4678999999999999E-2</v>
          </cell>
        </row>
        <row r="1419">
          <cell r="A1419">
            <v>2.2502000000000001E-2</v>
          </cell>
        </row>
        <row r="1420">
          <cell r="A1420">
            <v>1.0905E-2</v>
          </cell>
        </row>
        <row r="1421">
          <cell r="A1421">
            <v>1.6471E-2</v>
          </cell>
        </row>
        <row r="1422">
          <cell r="A1422">
            <v>2.7373999999999999E-2</v>
          </cell>
        </row>
        <row r="1423">
          <cell r="A1423">
            <v>1.3358999999999999E-2</v>
          </cell>
        </row>
        <row r="1424">
          <cell r="A1424">
            <v>2.1434000000000002E-2</v>
          </cell>
        </row>
        <row r="1425">
          <cell r="A1425">
            <v>2.2505000000000001E-2</v>
          </cell>
        </row>
        <row r="1426">
          <cell r="A1426">
            <v>2.2606999999999999E-2</v>
          </cell>
        </row>
        <row r="1427">
          <cell r="A1427">
            <v>2.6002000000000001E-2</v>
          </cell>
        </row>
        <row r="1428">
          <cell r="A1428">
            <v>1.2559000000000001E-2</v>
          </cell>
        </row>
        <row r="1429">
          <cell r="A1429">
            <v>1.4093E-2</v>
          </cell>
        </row>
        <row r="1430">
          <cell r="A1430">
            <v>1.5678999999999998E-2</v>
          </cell>
        </row>
        <row r="1431">
          <cell r="A1431">
            <v>2.6582000000000001E-2</v>
          </cell>
        </row>
        <row r="1432">
          <cell r="A1432">
            <v>1.042E-2</v>
          </cell>
        </row>
        <row r="1433">
          <cell r="A1433">
            <v>1.7240999999999999E-2</v>
          </cell>
        </row>
        <row r="1434">
          <cell r="A1434">
            <v>2.3779999999999999E-2</v>
          </cell>
        </row>
        <row r="1435">
          <cell r="A1435">
            <v>2.4662E-2</v>
          </cell>
        </row>
        <row r="1436">
          <cell r="A1436">
            <v>2.6187999999999999E-2</v>
          </cell>
        </row>
        <row r="1437">
          <cell r="A1437">
            <v>2.4105000000000001E-2</v>
          </cell>
        </row>
        <row r="1438">
          <cell r="A1438">
            <v>2.2700999999999999E-2</v>
          </cell>
        </row>
        <row r="1439">
          <cell r="A1439">
            <v>2.4003E-2</v>
          </cell>
        </row>
        <row r="1440">
          <cell r="A1440">
            <v>1.5692000000000001E-2</v>
          </cell>
        </row>
        <row r="1441">
          <cell r="A1441">
            <v>2.3175999999999999E-2</v>
          </cell>
        </row>
        <row r="1442">
          <cell r="A1442">
            <v>1.5103999999999999E-2</v>
          </cell>
        </row>
        <row r="1443">
          <cell r="A1443">
            <v>1.1338000000000001E-2</v>
          </cell>
        </row>
        <row r="1444">
          <cell r="A1444">
            <v>1.5232000000000001E-2</v>
          </cell>
        </row>
        <row r="1445">
          <cell r="A1445">
            <v>1.6173E-2</v>
          </cell>
        </row>
        <row r="1446">
          <cell r="A1446">
            <v>2.9862E-2</v>
          </cell>
        </row>
        <row r="1447">
          <cell r="A1447">
            <v>1.542E-2</v>
          </cell>
        </row>
        <row r="1448">
          <cell r="A1448">
            <v>2.1718999999999999E-2</v>
          </cell>
        </row>
        <row r="1449">
          <cell r="A1449">
            <v>2.3448E-2</v>
          </cell>
        </row>
        <row r="1450">
          <cell r="A1450">
            <v>2.6387000000000001E-2</v>
          </cell>
        </row>
        <row r="1451">
          <cell r="A1451">
            <v>7.2020000000000001E-3</v>
          </cell>
        </row>
        <row r="1452">
          <cell r="A1452">
            <v>2.5467E-2</v>
          </cell>
        </row>
        <row r="1453">
          <cell r="A1453">
            <v>2.2713000000000001E-2</v>
          </cell>
        </row>
        <row r="1454">
          <cell r="A1454">
            <v>1.2813E-2</v>
          </cell>
        </row>
        <row r="1455">
          <cell r="A1455">
            <v>1.8291999999999999E-2</v>
          </cell>
        </row>
        <row r="1456">
          <cell r="A1456">
            <v>2.1066999999999999E-2</v>
          </cell>
        </row>
        <row r="1457">
          <cell r="A1457">
            <v>1.1113E-2</v>
          </cell>
        </row>
        <row r="1458">
          <cell r="A1458">
            <v>1.119E-2</v>
          </cell>
        </row>
        <row r="1459">
          <cell r="A1459">
            <v>1.4808E-2</v>
          </cell>
        </row>
        <row r="1460">
          <cell r="A1460">
            <v>2.1552000000000002E-2</v>
          </cell>
        </row>
        <row r="1461">
          <cell r="A1461">
            <v>2.6117999999999999E-2</v>
          </cell>
        </row>
        <row r="1462">
          <cell r="A1462">
            <v>2.7668999999999999E-2</v>
          </cell>
        </row>
        <row r="1463">
          <cell r="A1463">
            <v>1.7114000000000001E-2</v>
          </cell>
        </row>
        <row r="1464">
          <cell r="A1464">
            <v>1.8629E-2</v>
          </cell>
        </row>
        <row r="1465">
          <cell r="A1465">
            <v>2.1756999999999999E-2</v>
          </cell>
        </row>
        <row r="1466">
          <cell r="A1466">
            <v>2.5604999999999999E-2</v>
          </cell>
        </row>
        <row r="1467">
          <cell r="A1467">
            <v>2.3998999999999999E-2</v>
          </cell>
        </row>
        <row r="1468">
          <cell r="A1468">
            <v>2.632E-2</v>
          </cell>
        </row>
        <row r="1469">
          <cell r="A1469">
            <v>1.7746000000000001E-2</v>
          </cell>
        </row>
        <row r="1470">
          <cell r="A1470">
            <v>1.3317000000000001E-2</v>
          </cell>
        </row>
        <row r="1471">
          <cell r="A1471">
            <v>1.6548E-2</v>
          </cell>
        </row>
        <row r="1472">
          <cell r="A1472">
            <v>2.2013000000000001E-2</v>
          </cell>
        </row>
        <row r="1473">
          <cell r="A1473">
            <v>1.1462E-2</v>
          </cell>
        </row>
        <row r="1474">
          <cell r="A1474">
            <v>1.2518E-2</v>
          </cell>
        </row>
        <row r="1475">
          <cell r="A1475">
            <v>1.5578E-2</v>
          </cell>
        </row>
        <row r="1476">
          <cell r="A1476">
            <v>1.7145000000000001E-2</v>
          </cell>
        </row>
        <row r="1477">
          <cell r="A1477">
            <v>2.5026E-2</v>
          </cell>
        </row>
        <row r="1478">
          <cell r="A1478">
            <v>3.0065000000000001E-2</v>
          </cell>
        </row>
        <row r="1479">
          <cell r="A1479">
            <v>1.0076999999999999E-2</v>
          </cell>
        </row>
        <row r="1480">
          <cell r="A1480">
            <v>1.4997999999999999E-2</v>
          </cell>
        </row>
        <row r="1481">
          <cell r="A1481">
            <v>2.2296E-2</v>
          </cell>
        </row>
        <row r="1482">
          <cell r="A1482">
            <v>2.24E-2</v>
          </cell>
        </row>
        <row r="1483">
          <cell r="A1483">
            <v>1.4071999999999999E-2</v>
          </cell>
        </row>
        <row r="1484">
          <cell r="A1484">
            <v>1.7874999999999999E-2</v>
          </cell>
        </row>
        <row r="1485">
          <cell r="A1485">
            <v>1.8238000000000001E-2</v>
          </cell>
        </row>
        <row r="1486">
          <cell r="A1486">
            <v>2.6422999999999999E-2</v>
          </cell>
        </row>
        <row r="1487">
          <cell r="A1487">
            <v>1.0005999999999999E-2</v>
          </cell>
        </row>
        <row r="1488">
          <cell r="A1488">
            <v>1.4041E-2</v>
          </cell>
        </row>
        <row r="1489">
          <cell r="A1489">
            <v>1.533E-2</v>
          </cell>
        </row>
        <row r="1490">
          <cell r="A1490">
            <v>1.5703999999999999E-2</v>
          </cell>
        </row>
        <row r="1491">
          <cell r="A1491">
            <v>2.1908E-2</v>
          </cell>
        </row>
        <row r="1492">
          <cell r="A1492">
            <v>2.3081999999999998E-2</v>
          </cell>
        </row>
        <row r="1493">
          <cell r="A1493">
            <v>2.3387999999999999E-2</v>
          </cell>
        </row>
        <row r="1494">
          <cell r="A1494">
            <v>3.1594999999999998E-2</v>
          </cell>
        </row>
        <row r="1495">
          <cell r="A1495">
            <v>3.6233000000000001E-2</v>
          </cell>
        </row>
        <row r="1496">
          <cell r="A1496">
            <v>1.9404999999999999E-2</v>
          </cell>
        </row>
        <row r="1497">
          <cell r="A1497">
            <v>2.0167999999999998E-2</v>
          </cell>
        </row>
        <row r="1498">
          <cell r="A1498">
            <v>9.9010000000000001E-3</v>
          </cell>
        </row>
        <row r="1499">
          <cell r="A1499">
            <v>1.5002E-2</v>
          </cell>
        </row>
        <row r="1500">
          <cell r="A1500">
            <v>1.9459000000000001E-2</v>
          </cell>
        </row>
        <row r="1501">
          <cell r="A1501">
            <v>2.3075999999999999E-2</v>
          </cell>
        </row>
        <row r="1502">
          <cell r="A1502">
            <v>2.7407000000000001E-2</v>
          </cell>
        </row>
        <row r="1503">
          <cell r="A1503">
            <v>1.2278000000000001E-2</v>
          </cell>
        </row>
        <row r="1504">
          <cell r="A1504">
            <v>2.1569000000000001E-2</v>
          </cell>
        </row>
        <row r="1505">
          <cell r="A1505">
            <v>2.264E-2</v>
          </cell>
        </row>
        <row r="1506">
          <cell r="A1506">
            <v>1.6917000000000001E-2</v>
          </cell>
        </row>
        <row r="1507">
          <cell r="A1507">
            <v>2.1621999999999999E-2</v>
          </cell>
        </row>
        <row r="1508">
          <cell r="A1508">
            <v>2.1964000000000001E-2</v>
          </cell>
        </row>
        <row r="1509">
          <cell r="A1509">
            <v>2.3532999999999998E-2</v>
          </cell>
        </row>
        <row r="1510">
          <cell r="A1510">
            <v>1.3901999999999999E-2</v>
          </cell>
        </row>
        <row r="1511">
          <cell r="A1511">
            <v>2.8518999999999999E-2</v>
          </cell>
        </row>
        <row r="1512">
          <cell r="A1512">
            <v>1.2854000000000001E-2</v>
          </cell>
        </row>
        <row r="1513">
          <cell r="A1513">
            <v>2.4229000000000001E-2</v>
          </cell>
        </row>
        <row r="1514">
          <cell r="A1514">
            <v>1.6833999999999998E-2</v>
          </cell>
        </row>
        <row r="1515">
          <cell r="A1515">
            <v>2.3118E-2</v>
          </cell>
        </row>
        <row r="1516">
          <cell r="A1516">
            <v>2.3358E-2</v>
          </cell>
        </row>
        <row r="1517">
          <cell r="A1517">
            <v>1.0003E-2</v>
          </cell>
        </row>
        <row r="1518">
          <cell r="A1518">
            <v>1.2005E-2</v>
          </cell>
        </row>
        <row r="1519">
          <cell r="A1519">
            <v>8.9309999999999997E-3</v>
          </cell>
        </row>
        <row r="1520">
          <cell r="A1520">
            <v>1.7056000000000002E-2</v>
          </cell>
        </row>
        <row r="1521">
          <cell r="A1521">
            <v>1.1032999999999999E-2</v>
          </cell>
        </row>
        <row r="1522">
          <cell r="A1522">
            <v>7.9550000000000003E-3</v>
          </cell>
        </row>
        <row r="1523">
          <cell r="A1523">
            <v>1.4991000000000001E-2</v>
          </cell>
        </row>
        <row r="1524">
          <cell r="A1524">
            <v>1.4572E-2</v>
          </cell>
        </row>
        <row r="1525">
          <cell r="A1525">
            <v>1.7191000000000001E-2</v>
          </cell>
        </row>
        <row r="1526">
          <cell r="A1526">
            <v>1.7391E-2</v>
          </cell>
        </row>
        <row r="1527">
          <cell r="A1527">
            <v>1.8322000000000001E-2</v>
          </cell>
        </row>
        <row r="1528">
          <cell r="A1528">
            <v>2.0528000000000001E-2</v>
          </cell>
        </row>
        <row r="1529">
          <cell r="A1529">
            <v>2.1097000000000001E-2</v>
          </cell>
        </row>
        <row r="1530">
          <cell r="A1530">
            <v>2.1412E-2</v>
          </cell>
        </row>
        <row r="1531">
          <cell r="A1531">
            <v>2.5946E-2</v>
          </cell>
        </row>
        <row r="1532">
          <cell r="A1532">
            <v>3.1606000000000002E-2</v>
          </cell>
        </row>
        <row r="1533">
          <cell r="A1533">
            <v>1.9132E-2</v>
          </cell>
        </row>
        <row r="1534">
          <cell r="A1534">
            <v>2.7945999999999999E-2</v>
          </cell>
        </row>
        <row r="1535">
          <cell r="A1535">
            <v>1.7949E-2</v>
          </cell>
        </row>
        <row r="1536">
          <cell r="A1536">
            <v>1.0710000000000001E-2</v>
          </cell>
        </row>
        <row r="1537">
          <cell r="A1537">
            <v>1.4571000000000001E-2</v>
          </cell>
        </row>
        <row r="1538">
          <cell r="A1538">
            <v>1.6788000000000001E-2</v>
          </cell>
        </row>
        <row r="1539">
          <cell r="A1539">
            <v>2.0480000000000002E-2</v>
          </cell>
        </row>
        <row r="1540">
          <cell r="A1540">
            <v>2.1263000000000001E-2</v>
          </cell>
        </row>
        <row r="1541">
          <cell r="A1541">
            <v>2.1717E-2</v>
          </cell>
        </row>
        <row r="1542">
          <cell r="A1542">
            <v>2.8409E-2</v>
          </cell>
        </row>
        <row r="1543">
          <cell r="A1543">
            <v>1.5391999999999999E-2</v>
          </cell>
        </row>
        <row r="1544">
          <cell r="A1544">
            <v>1.6715000000000001E-2</v>
          </cell>
        </row>
        <row r="1545">
          <cell r="A1545">
            <v>1.721E-2</v>
          </cell>
        </row>
        <row r="1546">
          <cell r="A1546">
            <v>2.0704E-2</v>
          </cell>
        </row>
        <row r="1547">
          <cell r="A1547">
            <v>2.3310999999999998E-2</v>
          </cell>
        </row>
        <row r="1548">
          <cell r="A1548">
            <v>3.5089000000000002E-2</v>
          </cell>
        </row>
        <row r="1549">
          <cell r="A1549">
            <v>2.1183E-2</v>
          </cell>
        </row>
        <row r="1550">
          <cell r="A1550">
            <v>1.4651000000000001E-2</v>
          </cell>
        </row>
        <row r="1551">
          <cell r="A1551">
            <v>2.3278E-2</v>
          </cell>
        </row>
        <row r="1552">
          <cell r="A1552">
            <v>2.4698000000000001E-2</v>
          </cell>
        </row>
        <row r="1553">
          <cell r="A1553">
            <v>3.1690999999999997E-2</v>
          </cell>
        </row>
        <row r="1554">
          <cell r="A1554">
            <v>2.179E-2</v>
          </cell>
        </row>
        <row r="1555">
          <cell r="A1555">
            <v>2.7127999999999999E-2</v>
          </cell>
        </row>
        <row r="1556">
          <cell r="A1556">
            <v>2.0716999999999999E-2</v>
          </cell>
        </row>
        <row r="1557">
          <cell r="A1557">
            <v>2.2970999999999998E-2</v>
          </cell>
        </row>
        <row r="1558">
          <cell r="A1558">
            <v>2.0410999999999999E-2</v>
          </cell>
        </row>
        <row r="1559">
          <cell r="A1559">
            <v>1.048E-2</v>
          </cell>
        </row>
        <row r="1560">
          <cell r="A1560">
            <v>1.8925000000000001E-2</v>
          </cell>
        </row>
        <row r="1561">
          <cell r="A1561">
            <v>1.1906E-2</v>
          </cell>
        </row>
        <row r="1562">
          <cell r="A1562">
            <v>1.0160000000000001E-2</v>
          </cell>
        </row>
        <row r="1563">
          <cell r="A1563">
            <v>1.1273E-2</v>
          </cell>
        </row>
        <row r="1564">
          <cell r="A1564">
            <v>2.5174999999999999E-2</v>
          </cell>
        </row>
        <row r="1565">
          <cell r="A1565">
            <v>2.1246999999999999E-2</v>
          </cell>
        </row>
        <row r="1566">
          <cell r="A1566">
            <v>2.4813000000000002E-2</v>
          </cell>
        </row>
        <row r="1567">
          <cell r="A1567">
            <v>2.4958999999999999E-2</v>
          </cell>
        </row>
        <row r="1568">
          <cell r="A1568">
            <v>6.9899999999999997E-3</v>
          </cell>
        </row>
        <row r="1569">
          <cell r="A1569">
            <v>2.2204999999999999E-2</v>
          </cell>
        </row>
        <row r="1570">
          <cell r="A1570">
            <v>2.2875E-2</v>
          </cell>
        </row>
        <row r="1571">
          <cell r="A1571">
            <v>2.0371E-2</v>
          </cell>
        </row>
        <row r="1572">
          <cell r="A1572">
            <v>2.1582E-2</v>
          </cell>
        </row>
        <row r="1573">
          <cell r="A1573">
            <v>2.0830999999999999E-2</v>
          </cell>
        </row>
        <row r="1574">
          <cell r="A1574">
            <v>2.1287E-2</v>
          </cell>
        </row>
        <row r="1575">
          <cell r="A1575">
            <v>2.1649000000000002E-2</v>
          </cell>
        </row>
        <row r="1576">
          <cell r="A1576">
            <v>2.4294E-2</v>
          </cell>
        </row>
        <row r="1577">
          <cell r="A1577">
            <v>2.8611999999999999E-2</v>
          </cell>
        </row>
        <row r="1578">
          <cell r="A1578">
            <v>7.1209999999999997E-3</v>
          </cell>
        </row>
        <row r="1579">
          <cell r="A1579">
            <v>2.1368999999999999E-2</v>
          </cell>
        </row>
        <row r="1580">
          <cell r="A1580">
            <v>6.391E-3</v>
          </cell>
        </row>
        <row r="1581">
          <cell r="A1581">
            <v>1.2132E-2</v>
          </cell>
        </row>
        <row r="1582">
          <cell r="A1582">
            <v>1.6195000000000001E-2</v>
          </cell>
        </row>
        <row r="1583">
          <cell r="A1583">
            <v>2.5873E-2</v>
          </cell>
        </row>
        <row r="1584">
          <cell r="A1584">
            <v>2.1642999999999999E-2</v>
          </cell>
        </row>
        <row r="1585">
          <cell r="A1585">
            <v>1.4538000000000001E-2</v>
          </cell>
        </row>
        <row r="1586">
          <cell r="A1586">
            <v>1.5272000000000001E-2</v>
          </cell>
        </row>
        <row r="1587">
          <cell r="A1587">
            <v>1.7187000000000001E-2</v>
          </cell>
        </row>
        <row r="1588">
          <cell r="A1588">
            <v>1.0888E-2</v>
          </cell>
        </row>
        <row r="1589">
          <cell r="A1589">
            <v>1.6560999999999999E-2</v>
          </cell>
        </row>
        <row r="1590">
          <cell r="A1590">
            <v>2.1401E-2</v>
          </cell>
        </row>
        <row r="1591">
          <cell r="A1591">
            <v>6.783E-3</v>
          </cell>
        </row>
        <row r="1592">
          <cell r="A1592">
            <v>1.7146000000000002E-2</v>
          </cell>
        </row>
        <row r="1593">
          <cell r="A1593">
            <v>1.4897000000000001E-2</v>
          </cell>
        </row>
        <row r="1594">
          <cell r="A1594">
            <v>2.1104999999999999E-2</v>
          </cell>
        </row>
        <row r="1595">
          <cell r="A1595">
            <v>2.3172000000000002E-2</v>
          </cell>
        </row>
        <row r="1596">
          <cell r="A1596">
            <v>2.7406E-2</v>
          </cell>
        </row>
        <row r="1597">
          <cell r="A1597">
            <v>1.2439E-2</v>
          </cell>
        </row>
        <row r="1598">
          <cell r="A1598">
            <v>2.1916000000000001E-2</v>
          </cell>
        </row>
        <row r="1599">
          <cell r="A1599">
            <v>2.9190000000000001E-2</v>
          </cell>
        </row>
        <row r="1600">
          <cell r="A1600">
            <v>1.0005E-2</v>
          </cell>
        </row>
        <row r="1601">
          <cell r="A1601">
            <v>1.6216000000000001E-2</v>
          </cell>
        </row>
        <row r="1602">
          <cell r="A1602">
            <v>2.3177E-2</v>
          </cell>
        </row>
        <row r="1603">
          <cell r="A1603">
            <v>1.3131E-2</v>
          </cell>
        </row>
        <row r="1604">
          <cell r="A1604">
            <v>1.4630000000000001E-2</v>
          </cell>
        </row>
        <row r="1605">
          <cell r="A1605">
            <v>2.3268E-2</v>
          </cell>
        </row>
        <row r="1606">
          <cell r="A1606">
            <v>2.3777E-2</v>
          </cell>
        </row>
        <row r="1607">
          <cell r="A1607">
            <v>2.1298000000000001E-2</v>
          </cell>
        </row>
        <row r="1608">
          <cell r="A1608">
            <v>2.2911999999999998E-2</v>
          </cell>
        </row>
        <row r="1609">
          <cell r="A1609">
            <v>1.2658000000000001E-2</v>
          </cell>
        </row>
        <row r="1610">
          <cell r="A1610">
            <v>1.5473000000000001E-2</v>
          </cell>
        </row>
        <row r="1611">
          <cell r="A1611">
            <v>2.1600000000000001E-2</v>
          </cell>
        </row>
        <row r="1612">
          <cell r="A1612">
            <v>1.5938000000000001E-2</v>
          </cell>
        </row>
        <row r="1613">
          <cell r="A1613">
            <v>1.9879000000000001E-2</v>
          </cell>
        </row>
        <row r="1614">
          <cell r="A1614">
            <v>6.0549999999999996E-3</v>
          </cell>
        </row>
        <row r="1615">
          <cell r="A1615">
            <v>1.8454000000000002E-2</v>
          </cell>
        </row>
        <row r="1616">
          <cell r="A1616">
            <v>2.2917E-2</v>
          </cell>
        </row>
        <row r="1617">
          <cell r="A1617">
            <v>2.4521999999999999E-2</v>
          </cell>
        </row>
        <row r="1618">
          <cell r="A1618">
            <v>2.7178000000000001E-2</v>
          </cell>
        </row>
        <row r="1619">
          <cell r="A1619">
            <v>1.8491E-2</v>
          </cell>
        </row>
        <row r="1620">
          <cell r="A1620">
            <v>1.9916E-2</v>
          </cell>
        </row>
        <row r="1621">
          <cell r="A1621">
            <v>2.4708000000000001E-2</v>
          </cell>
        </row>
        <row r="1622">
          <cell r="A1622">
            <v>5.5059999999999996E-3</v>
          </cell>
        </row>
        <row r="1623">
          <cell r="A1623">
            <v>9.325E-3</v>
          </cell>
        </row>
        <row r="1624">
          <cell r="A1624">
            <v>1.2534999999999999E-2</v>
          </cell>
        </row>
        <row r="1625">
          <cell r="A1625">
            <v>1.4572999999999999E-2</v>
          </cell>
        </row>
        <row r="1626">
          <cell r="A1626">
            <v>1.8124000000000001E-2</v>
          </cell>
        </row>
        <row r="1627">
          <cell r="A1627">
            <v>2.1096E-2</v>
          </cell>
        </row>
        <row r="1628">
          <cell r="A1628">
            <v>1.546E-2</v>
          </cell>
        </row>
        <row r="1629">
          <cell r="A1629">
            <v>1.3731E-2</v>
          </cell>
        </row>
        <row r="1630">
          <cell r="A1630">
            <v>1.345E-2</v>
          </cell>
        </row>
        <row r="1631">
          <cell r="A1631">
            <v>2.1805999999999999E-2</v>
          </cell>
        </row>
        <row r="1632">
          <cell r="A1632">
            <v>2.6190000000000001E-2</v>
          </cell>
        </row>
        <row r="1633">
          <cell r="A1633">
            <v>1.3114000000000001E-2</v>
          </cell>
        </row>
        <row r="1634">
          <cell r="A1634">
            <v>2.2512000000000001E-2</v>
          </cell>
        </row>
        <row r="1635">
          <cell r="A1635">
            <v>2.2741000000000001E-2</v>
          </cell>
        </row>
        <row r="1636">
          <cell r="A1636">
            <v>2.6376E-2</v>
          </cell>
        </row>
        <row r="1637">
          <cell r="A1637">
            <v>1.1795E-2</v>
          </cell>
        </row>
        <row r="1638">
          <cell r="A1638">
            <v>2.1184999999999999E-2</v>
          </cell>
        </row>
        <row r="1639">
          <cell r="A1639">
            <v>2.2391000000000001E-2</v>
          </cell>
        </row>
        <row r="1640">
          <cell r="A1640">
            <v>2.7827999999999999E-2</v>
          </cell>
        </row>
        <row r="1641">
          <cell r="A1641">
            <v>8.3789999999999993E-3</v>
          </cell>
        </row>
        <row r="1642">
          <cell r="A1642">
            <v>2.6889E-2</v>
          </cell>
        </row>
        <row r="1643">
          <cell r="A1643">
            <v>2.3375E-2</v>
          </cell>
        </row>
        <row r="1644">
          <cell r="A1644">
            <v>2.1124E-2</v>
          </cell>
        </row>
        <row r="1645">
          <cell r="A1645">
            <v>2.3223000000000001E-2</v>
          </cell>
        </row>
        <row r="1646">
          <cell r="A1646">
            <v>2.1607999999999999E-2</v>
          </cell>
        </row>
        <row r="1647">
          <cell r="A1647">
            <v>2.3113999999999999E-2</v>
          </cell>
        </row>
        <row r="1648">
          <cell r="A1648">
            <v>1.2323000000000001E-2</v>
          </cell>
        </row>
        <row r="1649">
          <cell r="A1649">
            <v>1.374E-2</v>
          </cell>
        </row>
        <row r="1650">
          <cell r="A1650">
            <v>2.1632999999999999E-2</v>
          </cell>
        </row>
        <row r="1651">
          <cell r="A1651">
            <v>2.3532000000000001E-2</v>
          </cell>
        </row>
        <row r="1652">
          <cell r="A1652">
            <v>2.7302E-2</v>
          </cell>
        </row>
        <row r="1653">
          <cell r="A1653">
            <v>1.6059E-2</v>
          </cell>
        </row>
        <row r="1654">
          <cell r="A1654">
            <v>2.6363000000000001E-2</v>
          </cell>
        </row>
        <row r="1655">
          <cell r="A1655">
            <v>6.953E-3</v>
          </cell>
        </row>
        <row r="1656">
          <cell r="A1656">
            <v>1.4201999999999999E-2</v>
          </cell>
        </row>
        <row r="1657">
          <cell r="A1657">
            <v>2.2671E-2</v>
          </cell>
        </row>
        <row r="1658">
          <cell r="A1658">
            <v>1.1227000000000001E-2</v>
          </cell>
        </row>
        <row r="1659">
          <cell r="A1659">
            <v>1.8523000000000001E-2</v>
          </cell>
        </row>
        <row r="1660">
          <cell r="A1660">
            <v>2.383E-2</v>
          </cell>
        </row>
        <row r="1661">
          <cell r="A1661">
            <v>2.4705000000000001E-2</v>
          </cell>
        </row>
        <row r="1662">
          <cell r="A1662">
            <v>2.8243999999999998E-2</v>
          </cell>
        </row>
        <row r="1663">
          <cell r="A1663">
            <v>1.0826000000000001E-2</v>
          </cell>
        </row>
        <row r="1664">
          <cell r="A1664">
            <v>1.8637000000000001E-2</v>
          </cell>
        </row>
        <row r="1665">
          <cell r="A1665">
            <v>2.2563E-2</v>
          </cell>
        </row>
        <row r="1666">
          <cell r="A1666">
            <v>1.4085E-2</v>
          </cell>
        </row>
        <row r="1667">
          <cell r="A1667">
            <v>1.536E-2</v>
          </cell>
        </row>
        <row r="1668">
          <cell r="A1668">
            <v>2.6596999999999999E-2</v>
          </cell>
        </row>
        <row r="1669">
          <cell r="A1669">
            <v>8.8739999999999999E-3</v>
          </cell>
        </row>
        <row r="1670">
          <cell r="A1670">
            <v>2.0504999999999999E-2</v>
          </cell>
        </row>
        <row r="1671">
          <cell r="A1671">
            <v>2.0678999999999999E-2</v>
          </cell>
        </row>
        <row r="1672">
          <cell r="A1672">
            <v>3.1050000000000001E-2</v>
          </cell>
        </row>
        <row r="1673">
          <cell r="A1673">
            <v>2.3337E-2</v>
          </cell>
        </row>
        <row r="1674">
          <cell r="A1674">
            <v>1.4012E-2</v>
          </cell>
        </row>
        <row r="1675">
          <cell r="A1675">
            <v>1.5637999999999999E-2</v>
          </cell>
        </row>
        <row r="1676">
          <cell r="A1676">
            <v>1.8859999999999998E-2</v>
          </cell>
        </row>
        <row r="1677">
          <cell r="A1677">
            <v>1.9642E-2</v>
          </cell>
        </row>
        <row r="1678">
          <cell r="A1678">
            <v>2.3163E-2</v>
          </cell>
        </row>
        <row r="1679">
          <cell r="A1679">
            <v>1.4197E-2</v>
          </cell>
        </row>
        <row r="1680">
          <cell r="A1680">
            <v>1.3998999999999999E-2</v>
          </cell>
        </row>
        <row r="1681">
          <cell r="A1681">
            <v>1.6764999999999999E-2</v>
          </cell>
        </row>
        <row r="1682">
          <cell r="A1682">
            <v>1.1036000000000001E-2</v>
          </cell>
        </row>
        <row r="1683">
          <cell r="A1683">
            <v>1.8089000000000001E-2</v>
          </cell>
        </row>
        <row r="1684">
          <cell r="A1684">
            <v>2.0487999999999999E-2</v>
          </cell>
        </row>
        <row r="1685">
          <cell r="A1685">
            <v>2.2405000000000001E-2</v>
          </cell>
        </row>
        <row r="1686">
          <cell r="A1686">
            <v>2.3040999999999999E-2</v>
          </cell>
        </row>
        <row r="1687">
          <cell r="A1687">
            <v>2.4437E-2</v>
          </cell>
        </row>
        <row r="1688">
          <cell r="A1688">
            <v>1.5925999999999999E-2</v>
          </cell>
        </row>
        <row r="1689">
          <cell r="A1689">
            <v>2.5631000000000001E-2</v>
          </cell>
        </row>
        <row r="1690">
          <cell r="A1690">
            <v>2.0274E-2</v>
          </cell>
        </row>
        <row r="1691">
          <cell r="A1691">
            <v>2.0437E-2</v>
          </cell>
        </row>
        <row r="1692">
          <cell r="A1692">
            <v>2.0958999999999998E-2</v>
          </cell>
        </row>
        <row r="1693">
          <cell r="A1693">
            <v>1.2879E-2</v>
          </cell>
        </row>
        <row r="1694">
          <cell r="A1694">
            <v>2.0593E-2</v>
          </cell>
        </row>
        <row r="1695">
          <cell r="A1695">
            <v>2.0622000000000001E-2</v>
          </cell>
        </row>
        <row r="1696">
          <cell r="A1696">
            <v>2.1582E-2</v>
          </cell>
        </row>
        <row r="1697">
          <cell r="A1697">
            <v>2.2870000000000001E-2</v>
          </cell>
        </row>
        <row r="1698">
          <cell r="A1698">
            <v>2.8153000000000001E-2</v>
          </cell>
        </row>
        <row r="1699">
          <cell r="A1699">
            <v>2.2442E-2</v>
          </cell>
        </row>
        <row r="1700">
          <cell r="A1700">
            <v>2.3446000000000002E-2</v>
          </cell>
        </row>
        <row r="1701">
          <cell r="A1701">
            <v>2.3768999999999998E-2</v>
          </cell>
        </row>
        <row r="1702">
          <cell r="A1702">
            <v>2.4402E-2</v>
          </cell>
        </row>
        <row r="1703">
          <cell r="A1703">
            <v>1.0538E-2</v>
          </cell>
        </row>
        <row r="1704">
          <cell r="A1704">
            <v>2.8586E-2</v>
          </cell>
        </row>
        <row r="1705">
          <cell r="A1705">
            <v>1.5779000000000001E-2</v>
          </cell>
        </row>
        <row r="1706">
          <cell r="A1706">
            <v>2.4775999999999999E-2</v>
          </cell>
        </row>
        <row r="1707">
          <cell r="A1707">
            <v>1.5462E-2</v>
          </cell>
        </row>
        <row r="1708">
          <cell r="A1708">
            <v>1.6924000000000002E-2</v>
          </cell>
        </row>
        <row r="1709">
          <cell r="A1709">
            <v>1.7292999999999999E-2</v>
          </cell>
        </row>
        <row r="1710">
          <cell r="A1710">
            <v>2.2395000000000002E-2</v>
          </cell>
        </row>
        <row r="1711">
          <cell r="A1711">
            <v>2.2769000000000001E-2</v>
          </cell>
        </row>
        <row r="1712">
          <cell r="A1712">
            <v>2.6695E-2</v>
          </cell>
        </row>
        <row r="1713">
          <cell r="A1713">
            <v>2.9777000000000001E-2</v>
          </cell>
        </row>
        <row r="1714">
          <cell r="A1714">
            <v>6.0740000000000004E-3</v>
          </cell>
        </row>
        <row r="1715">
          <cell r="A1715">
            <v>1.9380999999999999E-2</v>
          </cell>
        </row>
        <row r="1716">
          <cell r="A1716">
            <v>2.1850000000000001E-2</v>
          </cell>
        </row>
        <row r="1717">
          <cell r="A1717">
            <v>2.3026999999999999E-2</v>
          </cell>
        </row>
        <row r="1718">
          <cell r="A1718">
            <v>2.7793000000000002E-2</v>
          </cell>
        </row>
        <row r="1719">
          <cell r="A1719">
            <v>1.7089E-2</v>
          </cell>
        </row>
        <row r="1720">
          <cell r="A1720">
            <v>2.2950000000000002E-2</v>
          </cell>
        </row>
        <row r="1721">
          <cell r="A1721">
            <v>2.0577999999999999E-2</v>
          </cell>
        </row>
        <row r="1722">
          <cell r="A1722">
            <v>3.1654000000000002E-2</v>
          </cell>
        </row>
        <row r="1723">
          <cell r="A1723">
            <v>1.6794E-2</v>
          </cell>
        </row>
        <row r="1724">
          <cell r="A1724">
            <v>2.2318999999999999E-2</v>
          </cell>
        </row>
        <row r="1725">
          <cell r="A1725">
            <v>2.2360999999999999E-2</v>
          </cell>
        </row>
        <row r="1726">
          <cell r="A1726">
            <v>1.7139000000000001E-2</v>
          </cell>
        </row>
        <row r="1727">
          <cell r="A1727">
            <v>2.4663000000000001E-2</v>
          </cell>
        </row>
        <row r="1728">
          <cell r="A1728">
            <v>1.8076999999999999E-2</v>
          </cell>
        </row>
        <row r="1729">
          <cell r="A1729">
            <v>2.0046000000000001E-2</v>
          </cell>
        </row>
        <row r="1730">
          <cell r="A1730">
            <v>2.1647E-2</v>
          </cell>
        </row>
        <row r="1731">
          <cell r="A1731">
            <v>2.2817E-2</v>
          </cell>
        </row>
        <row r="1732">
          <cell r="A1732">
            <v>3.1615999999999998E-2</v>
          </cell>
        </row>
        <row r="1733">
          <cell r="A1733">
            <v>1.6413000000000001E-2</v>
          </cell>
        </row>
        <row r="1734">
          <cell r="A1734">
            <v>5.2040000000000003E-3</v>
          </cell>
        </row>
        <row r="1735">
          <cell r="A1735">
            <v>2.4403000000000001E-2</v>
          </cell>
        </row>
        <row r="1736">
          <cell r="A1736">
            <v>2.4884E-2</v>
          </cell>
        </row>
        <row r="1737">
          <cell r="A1737">
            <v>2.5905999999999998E-2</v>
          </cell>
        </row>
        <row r="1738">
          <cell r="A1738">
            <v>2.8625999999999999E-2</v>
          </cell>
        </row>
        <row r="1739">
          <cell r="A1739">
            <v>2.0528000000000001E-2</v>
          </cell>
        </row>
        <row r="1740">
          <cell r="A1740">
            <v>2.0296000000000002E-2</v>
          </cell>
        </row>
        <row r="1741">
          <cell r="A1741">
            <v>2.4944999999999998E-2</v>
          </cell>
        </row>
        <row r="1742">
          <cell r="A1742">
            <v>2.0601999999999999E-2</v>
          </cell>
        </row>
        <row r="1743">
          <cell r="A1743">
            <v>1.4862E-2</v>
          </cell>
        </row>
        <row r="1744">
          <cell r="A1744">
            <v>1.9199999999999998E-2</v>
          </cell>
        </row>
        <row r="1745">
          <cell r="A1745">
            <v>2.0206999999999999E-2</v>
          </cell>
        </row>
        <row r="1746">
          <cell r="A1746">
            <v>2.4382000000000001E-2</v>
          </cell>
        </row>
        <row r="1747">
          <cell r="A1747">
            <v>2.5111000000000001E-2</v>
          </cell>
        </row>
        <row r="1748">
          <cell r="A1748">
            <v>2.7730999999999999E-2</v>
          </cell>
        </row>
        <row r="1749">
          <cell r="A1749">
            <v>2.1128000000000001E-2</v>
          </cell>
        </row>
        <row r="1750">
          <cell r="A1750">
            <v>1.2433E-2</v>
          </cell>
        </row>
        <row r="1751">
          <cell r="A1751">
            <v>1.4987E-2</v>
          </cell>
        </row>
        <row r="1752">
          <cell r="A1752">
            <v>2.2745999999999999E-2</v>
          </cell>
        </row>
        <row r="1753">
          <cell r="A1753">
            <v>2.4049000000000001E-2</v>
          </cell>
        </row>
        <row r="1754">
          <cell r="A1754">
            <v>2.8676E-2</v>
          </cell>
        </row>
        <row r="1755">
          <cell r="A1755">
            <v>1.9295E-2</v>
          </cell>
        </row>
        <row r="1756">
          <cell r="A1756">
            <v>2.9638999999999999E-2</v>
          </cell>
        </row>
        <row r="1757">
          <cell r="A1757">
            <v>1.5911000000000002E-2</v>
          </cell>
        </row>
        <row r="1758">
          <cell r="A1758">
            <v>2.3612000000000001E-2</v>
          </cell>
        </row>
        <row r="1759">
          <cell r="A1759">
            <v>1.9945000000000001E-2</v>
          </cell>
        </row>
        <row r="1760">
          <cell r="A1760">
            <v>2.5389999999999999E-2</v>
          </cell>
        </row>
        <row r="1761">
          <cell r="A1761">
            <v>2.5611999999999999E-2</v>
          </cell>
        </row>
        <row r="1762">
          <cell r="A1762">
            <v>2.6828000000000001E-2</v>
          </cell>
        </row>
        <row r="1763">
          <cell r="A1763">
            <v>1.9858000000000001E-2</v>
          </cell>
        </row>
        <row r="1764">
          <cell r="A1764">
            <v>2.1687999999999999E-2</v>
          </cell>
        </row>
        <row r="1765">
          <cell r="A1765">
            <v>2.2360000000000001E-2</v>
          </cell>
        </row>
        <row r="1766">
          <cell r="A1766">
            <v>2.4249E-2</v>
          </cell>
        </row>
        <row r="1767">
          <cell r="A1767">
            <v>5.7250000000000001E-3</v>
          </cell>
        </row>
        <row r="1768">
          <cell r="A1768">
            <v>2.0823999999999999E-2</v>
          </cell>
        </row>
        <row r="1769">
          <cell r="A1769">
            <v>2.3334000000000001E-2</v>
          </cell>
        </row>
        <row r="1770">
          <cell r="A1770">
            <v>2.9609E-2</v>
          </cell>
        </row>
        <row r="1771">
          <cell r="A1771">
            <v>1.5323E-2</v>
          </cell>
        </row>
        <row r="1772">
          <cell r="A1772">
            <v>2.6844E-2</v>
          </cell>
        </row>
        <row r="1773">
          <cell r="A1773">
            <v>5.1939999999999998E-3</v>
          </cell>
        </row>
        <row r="1774">
          <cell r="A1774">
            <v>1.0186000000000001E-2</v>
          </cell>
        </row>
        <row r="1775">
          <cell r="A1775">
            <v>1.8064E-2</v>
          </cell>
        </row>
        <row r="1776">
          <cell r="A1776">
            <v>1.9486E-2</v>
          </cell>
        </row>
        <row r="1777">
          <cell r="A1777">
            <v>2.0230000000000001E-2</v>
          </cell>
        </row>
        <row r="1778">
          <cell r="A1778">
            <v>2.1073000000000001E-2</v>
          </cell>
        </row>
        <row r="1779">
          <cell r="A1779">
            <v>2.6041999999999999E-2</v>
          </cell>
        </row>
        <row r="1780">
          <cell r="A1780">
            <v>1.9538E-2</v>
          </cell>
        </row>
        <row r="1781">
          <cell r="A1781">
            <v>2.1956E-2</v>
          </cell>
        </row>
        <row r="1782">
          <cell r="A1782">
            <v>2.2928E-2</v>
          </cell>
        </row>
        <row r="1783">
          <cell r="A1783">
            <v>2.6068000000000001E-2</v>
          </cell>
        </row>
        <row r="1784">
          <cell r="A1784">
            <v>2.7407999999999998E-2</v>
          </cell>
        </row>
        <row r="1785">
          <cell r="A1785">
            <v>1.5443E-2</v>
          </cell>
        </row>
        <row r="1786">
          <cell r="A1786">
            <v>2.2334E-2</v>
          </cell>
        </row>
        <row r="1787">
          <cell r="A1787">
            <v>7.2129999999999998E-3</v>
          </cell>
        </row>
        <row r="1788">
          <cell r="A1788">
            <v>1.9257E-2</v>
          </cell>
        </row>
        <row r="1789">
          <cell r="A1789">
            <v>2.4058E-2</v>
          </cell>
        </row>
        <row r="1790">
          <cell r="A1790">
            <v>1.0194E-2</v>
          </cell>
        </row>
        <row r="1791">
          <cell r="A1791">
            <v>2.3205E-2</v>
          </cell>
        </row>
        <row r="1792">
          <cell r="A1792">
            <v>6.1650000000000003E-3</v>
          </cell>
        </row>
        <row r="1793">
          <cell r="A1793">
            <v>1.9234999999999999E-2</v>
          </cell>
        </row>
        <row r="1794">
          <cell r="A1794">
            <v>1.8360999999999999E-2</v>
          </cell>
        </row>
        <row r="1795">
          <cell r="A1795">
            <v>2.0660999999999999E-2</v>
          </cell>
        </row>
        <row r="1796">
          <cell r="A1796">
            <v>1.5171E-2</v>
          </cell>
        </row>
        <row r="1797">
          <cell r="A1797">
            <v>2.1557E-2</v>
          </cell>
        </row>
        <row r="1798">
          <cell r="A1798">
            <v>2.7823000000000001E-2</v>
          </cell>
        </row>
        <row r="1799">
          <cell r="A1799">
            <v>1.1133000000000001E-2</v>
          </cell>
        </row>
        <row r="1800">
          <cell r="A1800">
            <v>1.3861E-2</v>
          </cell>
        </row>
        <row r="1801">
          <cell r="A1801">
            <v>1.4761E-2</v>
          </cell>
        </row>
        <row r="1802">
          <cell r="A1802">
            <v>1.8308999999999999E-2</v>
          </cell>
        </row>
        <row r="1803">
          <cell r="A1803">
            <v>2.1728999999999998E-2</v>
          </cell>
        </row>
        <row r="1804">
          <cell r="A1804">
            <v>1.2343E-2</v>
          </cell>
        </row>
        <row r="1805">
          <cell r="A1805">
            <v>1.4156999999999999E-2</v>
          </cell>
        </row>
        <row r="1806">
          <cell r="A1806">
            <v>2.9239000000000001E-2</v>
          </cell>
        </row>
        <row r="1807">
          <cell r="A1807">
            <v>1.9189999999999999E-2</v>
          </cell>
        </row>
        <row r="1808">
          <cell r="A1808">
            <v>2.3458E-2</v>
          </cell>
        </row>
        <row r="1809">
          <cell r="A1809">
            <v>5.9300000000000004E-3</v>
          </cell>
        </row>
        <row r="1810">
          <cell r="A1810">
            <v>1.975E-2</v>
          </cell>
        </row>
        <row r="1811">
          <cell r="A1811">
            <v>1.3413E-2</v>
          </cell>
        </row>
        <row r="1812">
          <cell r="A1812">
            <v>2.1708999999999999E-2</v>
          </cell>
        </row>
        <row r="1813">
          <cell r="A1813">
            <v>2.23E-2</v>
          </cell>
        </row>
        <row r="1814">
          <cell r="A1814">
            <v>2.2852999999999998E-2</v>
          </cell>
        </row>
        <row r="1815">
          <cell r="A1815">
            <v>2.3266999999999999E-2</v>
          </cell>
        </row>
        <row r="1816">
          <cell r="A1816">
            <v>2.4368999999999998E-2</v>
          </cell>
        </row>
        <row r="1817">
          <cell r="A1817">
            <v>1.4362E-2</v>
          </cell>
        </row>
        <row r="1818">
          <cell r="A1818">
            <v>2.1679E-2</v>
          </cell>
        </row>
        <row r="1819">
          <cell r="A1819">
            <v>2.0837999999999999E-2</v>
          </cell>
        </row>
        <row r="1820">
          <cell r="A1820">
            <v>2.2782E-2</v>
          </cell>
        </row>
        <row r="1821">
          <cell r="A1821">
            <v>1.7409000000000001E-2</v>
          </cell>
        </row>
        <row r="1822">
          <cell r="A1822">
            <v>1.2148000000000001E-2</v>
          </cell>
        </row>
        <row r="1823">
          <cell r="A1823">
            <v>2.1399000000000001E-2</v>
          </cell>
        </row>
        <row r="1824">
          <cell r="A1824">
            <v>2.6646E-2</v>
          </cell>
        </row>
        <row r="1825">
          <cell r="A1825">
            <v>1.8633E-2</v>
          </cell>
        </row>
        <row r="1826">
          <cell r="A1826">
            <v>2.4975000000000001E-2</v>
          </cell>
        </row>
        <row r="1827">
          <cell r="A1827">
            <v>2.699E-2</v>
          </cell>
        </row>
        <row r="1828">
          <cell r="A1828">
            <v>2.9021999999999999E-2</v>
          </cell>
        </row>
        <row r="1829">
          <cell r="A1829">
            <v>1.8581E-2</v>
          </cell>
        </row>
        <row r="1830">
          <cell r="A1830">
            <v>1.9488999999999999E-2</v>
          </cell>
        </row>
        <row r="1831">
          <cell r="A1831">
            <v>2.3245999999999999E-2</v>
          </cell>
        </row>
        <row r="1832">
          <cell r="A1832">
            <v>2.341E-2</v>
          </cell>
        </row>
        <row r="1833">
          <cell r="A1833">
            <v>9.4629999999999992E-3</v>
          </cell>
        </row>
        <row r="1834">
          <cell r="A1834">
            <v>2.2543000000000001E-2</v>
          </cell>
        </row>
        <row r="1835">
          <cell r="A1835">
            <v>2.1964000000000001E-2</v>
          </cell>
        </row>
        <row r="1836">
          <cell r="A1836">
            <v>2.2227E-2</v>
          </cell>
        </row>
        <row r="1837">
          <cell r="A1837">
            <v>1.6131E-2</v>
          </cell>
        </row>
        <row r="1838">
          <cell r="A1838">
            <v>2.0962999999999999E-2</v>
          </cell>
        </row>
        <row r="1839">
          <cell r="A1839">
            <v>1.3009E-2</v>
          </cell>
        </row>
        <row r="1840">
          <cell r="A1840">
            <v>1.6461E-2</v>
          </cell>
        </row>
        <row r="1841">
          <cell r="A1841">
            <v>2.0076E-2</v>
          </cell>
        </row>
        <row r="1842">
          <cell r="A1842">
            <v>2.1009E-2</v>
          </cell>
        </row>
        <row r="1843">
          <cell r="A1843">
            <v>2.3098E-2</v>
          </cell>
        </row>
        <row r="1844">
          <cell r="A1844">
            <v>2.1860000000000001E-2</v>
          </cell>
        </row>
        <row r="1845">
          <cell r="A1845">
            <v>2.5818000000000001E-2</v>
          </cell>
        </row>
        <row r="1846">
          <cell r="A1846">
            <v>2.1086000000000001E-2</v>
          </cell>
        </row>
        <row r="1847">
          <cell r="A1847">
            <v>2.1928E-2</v>
          </cell>
        </row>
        <row r="1848">
          <cell r="A1848">
            <v>2.2737E-2</v>
          </cell>
        </row>
        <row r="1849">
          <cell r="A1849">
            <v>5.6629999999999996E-3</v>
          </cell>
        </row>
        <row r="1850">
          <cell r="A1850">
            <v>1.4710000000000001E-2</v>
          </cell>
        </row>
        <row r="1851">
          <cell r="A1851">
            <v>2.4390999999999999E-2</v>
          </cell>
        </row>
        <row r="1852">
          <cell r="A1852">
            <v>2.6665000000000001E-2</v>
          </cell>
        </row>
        <row r="1853">
          <cell r="A1853">
            <v>2.1198999999999999E-2</v>
          </cell>
        </row>
        <row r="1854">
          <cell r="A1854">
            <v>2.3272999999999999E-2</v>
          </cell>
        </row>
        <row r="1855">
          <cell r="A1855">
            <v>1.9144999999999999E-2</v>
          </cell>
        </row>
        <row r="1856">
          <cell r="A1856">
            <v>6.5859999999999998E-3</v>
          </cell>
        </row>
        <row r="1857">
          <cell r="A1857">
            <v>1.618E-2</v>
          </cell>
        </row>
        <row r="1858">
          <cell r="A1858">
            <v>2.1829000000000001E-2</v>
          </cell>
        </row>
        <row r="1859">
          <cell r="A1859">
            <v>2.6897999999999998E-2</v>
          </cell>
        </row>
        <row r="1860">
          <cell r="A1860">
            <v>2.2634999999999999E-2</v>
          </cell>
        </row>
        <row r="1861">
          <cell r="A1861">
            <v>2.5256000000000001E-2</v>
          </cell>
        </row>
        <row r="1862">
          <cell r="A1862">
            <v>1.4661E-2</v>
          </cell>
        </row>
        <row r="1863">
          <cell r="A1863">
            <v>1.5112E-2</v>
          </cell>
        </row>
        <row r="1864">
          <cell r="A1864">
            <v>2.0639000000000001E-2</v>
          </cell>
        </row>
        <row r="1865">
          <cell r="A1865">
            <v>2.9881000000000001E-2</v>
          </cell>
        </row>
        <row r="1866">
          <cell r="A1866">
            <v>1.3295E-2</v>
          </cell>
        </row>
        <row r="1867">
          <cell r="A1867">
            <v>1.9141999999999999E-2</v>
          </cell>
        </row>
        <row r="1868">
          <cell r="A1868">
            <v>2.5479999999999999E-2</v>
          </cell>
        </row>
        <row r="1869">
          <cell r="A1869">
            <v>5.4850000000000003E-3</v>
          </cell>
        </row>
        <row r="1870">
          <cell r="A1870">
            <v>1.8831000000000001E-2</v>
          </cell>
        </row>
        <row r="1871">
          <cell r="A1871">
            <v>1.9796000000000001E-2</v>
          </cell>
        </row>
        <row r="1872">
          <cell r="A1872">
            <v>9.7640000000000001E-3</v>
          </cell>
        </row>
        <row r="1873">
          <cell r="A1873">
            <v>1.0277E-2</v>
          </cell>
        </row>
        <row r="1874">
          <cell r="A1874">
            <v>1.2030000000000001E-2</v>
          </cell>
        </row>
        <row r="1875">
          <cell r="A1875">
            <v>1.6138E-2</v>
          </cell>
        </row>
        <row r="1876">
          <cell r="A1876">
            <v>1.7316000000000002E-2</v>
          </cell>
        </row>
        <row r="1877">
          <cell r="A1877">
            <v>2.3598000000000001E-2</v>
          </cell>
        </row>
        <row r="1878">
          <cell r="A1878">
            <v>2.4771999999999999E-2</v>
          </cell>
        </row>
        <row r="1879">
          <cell r="A1879">
            <v>2.4797E-2</v>
          </cell>
        </row>
        <row r="1880">
          <cell r="A1880">
            <v>5.777E-3</v>
          </cell>
        </row>
        <row r="1881">
          <cell r="A1881">
            <v>2.6113000000000001E-2</v>
          </cell>
        </row>
        <row r="1882">
          <cell r="A1882">
            <v>2.7643999999999998E-2</v>
          </cell>
        </row>
        <row r="1883">
          <cell r="A1883">
            <v>1.5504E-2</v>
          </cell>
        </row>
        <row r="1884">
          <cell r="A1884">
            <v>1.9257E-2</v>
          </cell>
        </row>
        <row r="1885">
          <cell r="A1885">
            <v>2.3619000000000001E-2</v>
          </cell>
        </row>
        <row r="1886">
          <cell r="A1886">
            <v>1.7243000000000001E-2</v>
          </cell>
        </row>
        <row r="1887">
          <cell r="A1887">
            <v>2.0667999999999999E-2</v>
          </cell>
        </row>
        <row r="1888">
          <cell r="A1888">
            <v>1.9112000000000001E-2</v>
          </cell>
        </row>
        <row r="1889">
          <cell r="A1889">
            <v>2.0795999999999999E-2</v>
          </cell>
        </row>
        <row r="1890">
          <cell r="A1890">
            <v>2.2058999999999999E-2</v>
          </cell>
        </row>
        <row r="1891">
          <cell r="A1891">
            <v>1.7950000000000001E-2</v>
          </cell>
        </row>
        <row r="1892">
          <cell r="A1892">
            <v>2.1021999999999999E-2</v>
          </cell>
        </row>
        <row r="1893">
          <cell r="A1893">
            <v>2.0553999999999999E-2</v>
          </cell>
        </row>
        <row r="1894">
          <cell r="A1894">
            <v>2.1236000000000001E-2</v>
          </cell>
        </row>
        <row r="1895">
          <cell r="A1895">
            <v>1.4628E-2</v>
          </cell>
        </row>
        <row r="1896">
          <cell r="A1896">
            <v>1.9192000000000001E-2</v>
          </cell>
        </row>
        <row r="1897">
          <cell r="A1897">
            <v>2.1045999999999999E-2</v>
          </cell>
        </row>
        <row r="1898">
          <cell r="A1898">
            <v>2.2542E-2</v>
          </cell>
        </row>
        <row r="1899">
          <cell r="A1899">
            <v>4.6600000000000001E-3</v>
          </cell>
        </row>
        <row r="1900">
          <cell r="A1900">
            <v>1.5375E-2</v>
          </cell>
        </row>
        <row r="1901">
          <cell r="A1901">
            <v>1.5438E-2</v>
          </cell>
        </row>
        <row r="1902">
          <cell r="A1902">
            <v>2.0400999999999999E-2</v>
          </cell>
        </row>
        <row r="1903">
          <cell r="A1903">
            <v>1.1631000000000001E-2</v>
          </cell>
        </row>
        <row r="1904">
          <cell r="A1904">
            <v>1.9519000000000002E-2</v>
          </cell>
        </row>
        <row r="1905">
          <cell r="A1905">
            <v>1.1606E-2</v>
          </cell>
        </row>
        <row r="1906">
          <cell r="A1906">
            <v>1.9945000000000001E-2</v>
          </cell>
        </row>
        <row r="1907">
          <cell r="A1907">
            <v>2.0625999999999999E-2</v>
          </cell>
        </row>
        <row r="1908">
          <cell r="A1908">
            <v>4.7939999999999997E-3</v>
          </cell>
        </row>
        <row r="1909">
          <cell r="A1909">
            <v>8.8129999999999997E-3</v>
          </cell>
        </row>
        <row r="1910">
          <cell r="A1910">
            <v>1.7725999999999999E-2</v>
          </cell>
        </row>
        <row r="1911">
          <cell r="A1911">
            <v>2.2190999999999999E-2</v>
          </cell>
        </row>
        <row r="1912">
          <cell r="A1912">
            <v>1.617E-2</v>
          </cell>
        </row>
        <row r="1913">
          <cell r="A1913">
            <v>1.8345E-2</v>
          </cell>
        </row>
        <row r="1914">
          <cell r="A1914">
            <v>2.1658E-2</v>
          </cell>
        </row>
        <row r="1915">
          <cell r="A1915">
            <v>2.4038E-2</v>
          </cell>
        </row>
        <row r="1916">
          <cell r="A1916">
            <v>1.7212000000000002E-2</v>
          </cell>
        </row>
        <row r="1917">
          <cell r="A1917">
            <v>2.0629000000000002E-2</v>
          </cell>
        </row>
        <row r="1918">
          <cell r="A1918">
            <v>2.7275000000000001E-2</v>
          </cell>
        </row>
        <row r="1919">
          <cell r="A1919">
            <v>5.078E-3</v>
          </cell>
        </row>
        <row r="1920">
          <cell r="A1920">
            <v>1.9198E-2</v>
          </cell>
        </row>
        <row r="1921">
          <cell r="A1921">
            <v>1.3665E-2</v>
          </cell>
        </row>
        <row r="1922">
          <cell r="A1922">
            <v>1.8200999999999998E-2</v>
          </cell>
        </row>
        <row r="1923">
          <cell r="A1923">
            <v>2.0701000000000001E-2</v>
          </cell>
        </row>
        <row r="1924">
          <cell r="A1924">
            <v>1.7340000000000001E-2</v>
          </cell>
        </row>
        <row r="1925">
          <cell r="A1925">
            <v>1.7815999999999999E-2</v>
          </cell>
        </row>
        <row r="1926">
          <cell r="A1926">
            <v>1.8967999999999999E-2</v>
          </cell>
        </row>
        <row r="1927">
          <cell r="A1927">
            <v>2.2105E-2</v>
          </cell>
        </row>
        <row r="1928">
          <cell r="A1928">
            <v>2.2284999999999999E-2</v>
          </cell>
        </row>
        <row r="1929">
          <cell r="A1929">
            <v>1.9408999999999999E-2</v>
          </cell>
        </row>
        <row r="1930">
          <cell r="A1930">
            <v>2.3692000000000001E-2</v>
          </cell>
        </row>
        <row r="1931">
          <cell r="A1931">
            <v>1.6573999999999998E-2</v>
          </cell>
        </row>
        <row r="1932">
          <cell r="A1932">
            <v>2.767E-2</v>
          </cell>
        </row>
        <row r="1933">
          <cell r="A1933">
            <v>3.1026999999999999E-2</v>
          </cell>
        </row>
        <row r="1934">
          <cell r="A1934">
            <v>2.0694000000000001E-2</v>
          </cell>
        </row>
        <row r="1935">
          <cell r="A1935">
            <v>1.8454999999999999E-2</v>
          </cell>
        </row>
        <row r="1936">
          <cell r="A1936">
            <v>2.1044E-2</v>
          </cell>
        </row>
        <row r="1937">
          <cell r="A1937">
            <v>1.2702E-2</v>
          </cell>
        </row>
        <row r="1938">
          <cell r="A1938">
            <v>2.078E-2</v>
          </cell>
        </row>
        <row r="1939">
          <cell r="A1939">
            <v>2.1444000000000001E-2</v>
          </cell>
        </row>
        <row r="1940">
          <cell r="A1940">
            <v>2.1748E-2</v>
          </cell>
        </row>
        <row r="1941">
          <cell r="A1941">
            <v>1.7343000000000001E-2</v>
          </cell>
        </row>
        <row r="1942">
          <cell r="A1942">
            <v>2.0929E-2</v>
          </cell>
        </row>
        <row r="1943">
          <cell r="A1943">
            <v>2.4405E-2</v>
          </cell>
        </row>
        <row r="1944">
          <cell r="A1944">
            <v>1.5975E-2</v>
          </cell>
        </row>
        <row r="1945">
          <cell r="A1945">
            <v>2.239E-2</v>
          </cell>
        </row>
        <row r="1946">
          <cell r="A1946">
            <v>2.6891999999999999E-2</v>
          </cell>
        </row>
        <row r="1947">
          <cell r="A1947">
            <v>1.3808000000000001E-2</v>
          </cell>
        </row>
        <row r="1948">
          <cell r="A1948">
            <v>1.6098999999999999E-2</v>
          </cell>
        </row>
        <row r="1949">
          <cell r="A1949">
            <v>1.8571000000000001E-2</v>
          </cell>
        </row>
        <row r="1950">
          <cell r="A1950">
            <v>1.1246000000000001E-2</v>
          </cell>
        </row>
        <row r="1951">
          <cell r="A1951">
            <v>2.0559999999999998E-2</v>
          </cell>
        </row>
        <row r="1952">
          <cell r="A1952">
            <v>2.5819000000000002E-2</v>
          </cell>
        </row>
        <row r="1953">
          <cell r="A1953">
            <v>2.5884000000000001E-2</v>
          </cell>
        </row>
        <row r="1954">
          <cell r="A1954">
            <v>1.9685000000000001E-2</v>
          </cell>
        </row>
        <row r="1955">
          <cell r="A1955">
            <v>2.1748E-2</v>
          </cell>
        </row>
        <row r="1956">
          <cell r="A1956">
            <v>1.2945999999999999E-2</v>
          </cell>
        </row>
        <row r="1957">
          <cell r="A1957">
            <v>2.1461999999999998E-2</v>
          </cell>
        </row>
        <row r="1958">
          <cell r="A1958">
            <v>2.6568999999999999E-2</v>
          </cell>
        </row>
        <row r="1959">
          <cell r="A1959">
            <v>2.0951000000000001E-2</v>
          </cell>
        </row>
        <row r="1960">
          <cell r="A1960">
            <v>2.7480000000000001E-2</v>
          </cell>
        </row>
        <row r="1961">
          <cell r="A1961">
            <v>1.7652999999999999E-2</v>
          </cell>
        </row>
        <row r="1962">
          <cell r="A1962">
            <v>1.2068000000000001E-2</v>
          </cell>
        </row>
        <row r="1963">
          <cell r="A1963">
            <v>2.0702999999999999E-2</v>
          </cell>
        </row>
        <row r="1964">
          <cell r="A1964">
            <v>2.0634E-2</v>
          </cell>
        </row>
        <row r="1965">
          <cell r="A1965">
            <v>2.2630999999999998E-2</v>
          </cell>
        </row>
        <row r="1966">
          <cell r="A1966">
            <v>2.5225000000000001E-2</v>
          </cell>
        </row>
        <row r="1967">
          <cell r="A1967">
            <v>2.6015E-2</v>
          </cell>
        </row>
        <row r="1968">
          <cell r="A1968">
            <v>1.3639E-2</v>
          </cell>
        </row>
        <row r="1969">
          <cell r="A1969">
            <v>2.2575999999999999E-2</v>
          </cell>
        </row>
        <row r="1970">
          <cell r="A1970">
            <v>2.4367E-2</v>
          </cell>
        </row>
        <row r="1971">
          <cell r="A1971">
            <v>1.8201999999999999E-2</v>
          </cell>
        </row>
        <row r="1972">
          <cell r="A1972">
            <v>1.8435E-2</v>
          </cell>
        </row>
        <row r="1973">
          <cell r="A1973">
            <v>1.9886999999999998E-2</v>
          </cell>
        </row>
        <row r="1974">
          <cell r="A1974">
            <v>2.2279E-2</v>
          </cell>
        </row>
        <row r="1975">
          <cell r="A1975">
            <v>2.6016999999999998E-2</v>
          </cell>
        </row>
        <row r="1976">
          <cell r="A1976">
            <v>2.6283999999999998E-2</v>
          </cell>
        </row>
        <row r="1977">
          <cell r="A1977">
            <v>1.9345999999999999E-2</v>
          </cell>
        </row>
        <row r="1978">
          <cell r="A1978">
            <v>1.4083E-2</v>
          </cell>
        </row>
        <row r="1979">
          <cell r="A1979">
            <v>2.1516E-2</v>
          </cell>
        </row>
        <row r="1980">
          <cell r="A1980">
            <v>2.1950000000000001E-2</v>
          </cell>
        </row>
        <row r="1981">
          <cell r="A1981">
            <v>2.2301000000000001E-2</v>
          </cell>
        </row>
        <row r="1982">
          <cell r="A1982">
            <v>2.6804999999999999E-2</v>
          </cell>
        </row>
        <row r="1983">
          <cell r="A1983">
            <v>1.4033E-2</v>
          </cell>
        </row>
        <row r="1984">
          <cell r="A1984">
            <v>1.5436E-2</v>
          </cell>
        </row>
        <row r="1985">
          <cell r="A1985">
            <v>1.7596000000000001E-2</v>
          </cell>
        </row>
        <row r="1986">
          <cell r="A1986">
            <v>2.4886999999999999E-2</v>
          </cell>
        </row>
        <row r="1987">
          <cell r="A1987">
            <v>2.1388000000000001E-2</v>
          </cell>
        </row>
        <row r="1988">
          <cell r="A1988">
            <v>2.4797E-2</v>
          </cell>
        </row>
        <row r="1989">
          <cell r="A1989">
            <v>5.5510000000000004E-3</v>
          </cell>
        </row>
        <row r="1990">
          <cell r="A1990">
            <v>2.01E-2</v>
          </cell>
        </row>
        <row r="1991">
          <cell r="A1991">
            <v>2.2946000000000001E-2</v>
          </cell>
        </row>
        <row r="1992">
          <cell r="A1992">
            <v>2.5568E-2</v>
          </cell>
        </row>
        <row r="1993">
          <cell r="A1993">
            <v>2.6818000000000002E-2</v>
          </cell>
        </row>
        <row r="1994">
          <cell r="A1994">
            <v>2.1753999999999999E-2</v>
          </cell>
        </row>
        <row r="1995">
          <cell r="A1995">
            <v>2.5838E-2</v>
          </cell>
        </row>
        <row r="1996">
          <cell r="A1996">
            <v>1.4805E-2</v>
          </cell>
        </row>
        <row r="1997">
          <cell r="A1997">
            <v>2.2641999999999999E-2</v>
          </cell>
        </row>
        <row r="1998">
          <cell r="A1998">
            <v>1.0545000000000001E-2</v>
          </cell>
        </row>
        <row r="1999">
          <cell r="A1999">
            <v>2.0718E-2</v>
          </cell>
        </row>
        <row r="2000">
          <cell r="A2000">
            <v>2.1514999999999999E-2</v>
          </cell>
        </row>
        <row r="2001">
          <cell r="A2001">
            <v>2.5514999999999999E-2</v>
          </cell>
        </row>
        <row r="2002">
          <cell r="A2002">
            <v>1.3787000000000001E-2</v>
          </cell>
        </row>
        <row r="2003">
          <cell r="A2003">
            <v>2.1288000000000001E-2</v>
          </cell>
        </row>
        <row r="2004">
          <cell r="A2004">
            <v>5.5019999999999999E-3</v>
          </cell>
        </row>
        <row r="2005">
          <cell r="A2005">
            <v>1.9786000000000002E-2</v>
          </cell>
        </row>
        <row r="2006">
          <cell r="A2006">
            <v>2.1240999999999999E-2</v>
          </cell>
        </row>
        <row r="2007">
          <cell r="A2007">
            <v>2.6308000000000002E-2</v>
          </cell>
        </row>
        <row r="2008">
          <cell r="A2008">
            <v>4.3750000000000004E-3</v>
          </cell>
        </row>
        <row r="2009">
          <cell r="A2009">
            <v>1.188E-2</v>
          </cell>
        </row>
        <row r="2010">
          <cell r="A2010">
            <v>2.1170999999999999E-2</v>
          </cell>
        </row>
        <row r="2011">
          <cell r="A2011">
            <v>2.2683999999999999E-2</v>
          </cell>
        </row>
        <row r="2012">
          <cell r="A2012">
            <v>3.0513999999999999E-2</v>
          </cell>
        </row>
        <row r="2013">
          <cell r="A2013">
            <v>1.8699E-2</v>
          </cell>
        </row>
        <row r="2014">
          <cell r="A2014">
            <v>1.9028E-2</v>
          </cell>
        </row>
        <row r="2015">
          <cell r="A2015">
            <v>2.1661E-2</v>
          </cell>
        </row>
        <row r="2016">
          <cell r="A2016">
            <v>1.3934999999999999E-2</v>
          </cell>
        </row>
        <row r="2017">
          <cell r="A2017">
            <v>2.0136000000000001E-2</v>
          </cell>
        </row>
        <row r="2018">
          <cell r="A2018">
            <v>2.1006E-2</v>
          </cell>
        </row>
        <row r="2019">
          <cell r="A2019">
            <v>2.2314000000000001E-2</v>
          </cell>
        </row>
        <row r="2020">
          <cell r="A2020">
            <v>2.2934E-2</v>
          </cell>
        </row>
        <row r="2021">
          <cell r="A2021">
            <v>2.4569000000000001E-2</v>
          </cell>
        </row>
        <row r="2022">
          <cell r="A2022">
            <v>2.6505000000000001E-2</v>
          </cell>
        </row>
        <row r="2023">
          <cell r="A2023">
            <v>2.6634999999999999E-2</v>
          </cell>
        </row>
        <row r="2024">
          <cell r="A2024">
            <v>2.3392E-2</v>
          </cell>
        </row>
        <row r="2025">
          <cell r="A2025">
            <v>1.4206999999999999E-2</v>
          </cell>
        </row>
        <row r="2026">
          <cell r="A2026">
            <v>2.0702999999999999E-2</v>
          </cell>
        </row>
        <row r="2027">
          <cell r="A2027">
            <v>2.0965000000000001E-2</v>
          </cell>
        </row>
        <row r="2028">
          <cell r="A2028">
            <v>2.2426000000000001E-2</v>
          </cell>
        </row>
        <row r="2029">
          <cell r="A2029">
            <v>1.4675000000000001E-2</v>
          </cell>
        </row>
        <row r="2030">
          <cell r="A2030">
            <v>2.0216999999999999E-2</v>
          </cell>
        </row>
        <row r="2031">
          <cell r="A2031">
            <v>2.0465000000000001E-2</v>
          </cell>
        </row>
        <row r="2032">
          <cell r="A2032">
            <v>6.1050000000000002E-3</v>
          </cell>
        </row>
        <row r="2033">
          <cell r="A2033">
            <v>2.4476000000000001E-2</v>
          </cell>
        </row>
        <row r="2034">
          <cell r="A2034">
            <v>3.3328999999999998E-2</v>
          </cell>
        </row>
        <row r="2035">
          <cell r="A2035">
            <v>1.102E-2</v>
          </cell>
        </row>
        <row r="2036">
          <cell r="A2036">
            <v>1.119E-2</v>
          </cell>
        </row>
        <row r="2037">
          <cell r="A2037">
            <v>2.8282999999999999E-2</v>
          </cell>
        </row>
        <row r="2038">
          <cell r="A2038">
            <v>2.1333000000000001E-2</v>
          </cell>
        </row>
        <row r="2039">
          <cell r="A2039">
            <v>2.2768E-2</v>
          </cell>
        </row>
        <row r="2040">
          <cell r="A2040">
            <v>1.4668E-2</v>
          </cell>
        </row>
        <row r="2041">
          <cell r="A2041">
            <v>2.6064E-2</v>
          </cell>
        </row>
        <row r="2042">
          <cell r="A2042">
            <v>4.6309999999999997E-3</v>
          </cell>
        </row>
        <row r="2043">
          <cell r="A2043">
            <v>1.9158999999999999E-2</v>
          </cell>
        </row>
        <row r="2044">
          <cell r="A2044">
            <v>2.6238000000000001E-2</v>
          </cell>
        </row>
        <row r="2045">
          <cell r="A2045">
            <v>1.8723E-2</v>
          </cell>
        </row>
        <row r="2046">
          <cell r="A2046">
            <v>1.6905E-2</v>
          </cell>
        </row>
        <row r="2047">
          <cell r="A2047">
            <v>1.8866999999999998E-2</v>
          </cell>
        </row>
        <row r="2048">
          <cell r="A2048">
            <v>2.0920999999999999E-2</v>
          </cell>
        </row>
        <row r="2049">
          <cell r="A2049">
            <v>1.2919999999999999E-2</v>
          </cell>
        </row>
        <row r="2050">
          <cell r="A2050">
            <v>1.3221E-2</v>
          </cell>
        </row>
        <row r="2051">
          <cell r="A2051">
            <v>2.6055999999999999E-2</v>
          </cell>
        </row>
        <row r="2052">
          <cell r="A2052">
            <v>1.6531000000000001E-2</v>
          </cell>
        </row>
        <row r="2053">
          <cell r="A2053">
            <v>1.9608E-2</v>
          </cell>
        </row>
        <row r="2054">
          <cell r="A2054">
            <v>2.1305999999999999E-2</v>
          </cell>
        </row>
        <row r="2055">
          <cell r="A2055">
            <v>2.2976E-2</v>
          </cell>
        </row>
        <row r="2056">
          <cell r="A2056">
            <v>2.4570000000000002E-2</v>
          </cell>
        </row>
        <row r="2057">
          <cell r="A2057">
            <v>3.1185000000000001E-2</v>
          </cell>
        </row>
        <row r="2058">
          <cell r="A2058">
            <v>1.9616000000000001E-2</v>
          </cell>
        </row>
        <row r="2059">
          <cell r="A2059">
            <v>1.9623000000000002E-2</v>
          </cell>
        </row>
        <row r="2060">
          <cell r="A2060">
            <v>1.9913E-2</v>
          </cell>
        </row>
        <row r="2061">
          <cell r="A2061">
            <v>2.0434999999999998E-2</v>
          </cell>
        </row>
        <row r="2062">
          <cell r="A2062">
            <v>1.9626000000000001E-2</v>
          </cell>
        </row>
        <row r="2063">
          <cell r="A2063">
            <v>2.0514000000000001E-2</v>
          </cell>
        </row>
        <row r="2064">
          <cell r="A2064">
            <v>2.3092999999999999E-2</v>
          </cell>
        </row>
        <row r="2065">
          <cell r="A2065">
            <v>1.5122E-2</v>
          </cell>
        </row>
        <row r="2066">
          <cell r="A2066">
            <v>1.8159000000000002E-2</v>
          </cell>
        </row>
        <row r="2067">
          <cell r="A2067">
            <v>2.0649000000000001E-2</v>
          </cell>
        </row>
        <row r="2068">
          <cell r="A2068">
            <v>2.5295999999999999E-2</v>
          </cell>
        </row>
        <row r="2069">
          <cell r="A2069">
            <v>1.9726E-2</v>
          </cell>
        </row>
        <row r="2070">
          <cell r="A2070">
            <v>2.0750999999999999E-2</v>
          </cell>
        </row>
        <row r="2071">
          <cell r="A2071">
            <v>2.4437E-2</v>
          </cell>
        </row>
        <row r="2072">
          <cell r="A2072">
            <v>2.6290000000000001E-2</v>
          </cell>
        </row>
        <row r="2073">
          <cell r="A2073">
            <v>5.4440000000000001E-3</v>
          </cell>
        </row>
        <row r="2074">
          <cell r="A2074">
            <v>1.4938E-2</v>
          </cell>
        </row>
        <row r="2075">
          <cell r="A2075">
            <v>1.6344999999999998E-2</v>
          </cell>
        </row>
        <row r="2076">
          <cell r="A2076">
            <v>1.7451999999999999E-2</v>
          </cell>
        </row>
        <row r="2077">
          <cell r="A2077">
            <v>2.2502000000000001E-2</v>
          </cell>
        </row>
        <row r="2078">
          <cell r="A2078">
            <v>2.4806000000000002E-2</v>
          </cell>
        </row>
        <row r="2079">
          <cell r="A2079">
            <v>6.3350000000000004E-3</v>
          </cell>
        </row>
        <row r="2080">
          <cell r="A2080">
            <v>1.5841000000000001E-2</v>
          </cell>
        </row>
        <row r="2081">
          <cell r="A2081">
            <v>2.2945E-2</v>
          </cell>
        </row>
        <row r="2082">
          <cell r="A2082">
            <v>1.8297000000000001E-2</v>
          </cell>
        </row>
        <row r="2083">
          <cell r="A2083">
            <v>2.0552000000000001E-2</v>
          </cell>
        </row>
        <row r="2084">
          <cell r="A2084">
            <v>2.1361000000000002E-2</v>
          </cell>
        </row>
        <row r="2085">
          <cell r="A2085">
            <v>2.1559999999999999E-2</v>
          </cell>
        </row>
        <row r="2086">
          <cell r="A2086">
            <v>2.1839999999999998E-2</v>
          </cell>
        </row>
        <row r="2087">
          <cell r="A2087">
            <v>2.2565999999999999E-2</v>
          </cell>
        </row>
        <row r="2088">
          <cell r="A2088">
            <v>1.9442999999999998E-2</v>
          </cell>
        </row>
        <row r="2089">
          <cell r="A2089">
            <v>1.9883999999999999E-2</v>
          </cell>
        </row>
        <row r="2090">
          <cell r="A2090">
            <v>1.6584000000000002E-2</v>
          </cell>
        </row>
        <row r="2091">
          <cell r="A2091">
            <v>2.0060000000000001E-2</v>
          </cell>
        </row>
        <row r="2092">
          <cell r="A2092">
            <v>2.0506E-2</v>
          </cell>
        </row>
        <row r="2093">
          <cell r="A2093">
            <v>2.2571000000000001E-2</v>
          </cell>
        </row>
        <row r="2094">
          <cell r="A2094">
            <v>4.7580000000000001E-3</v>
          </cell>
        </row>
        <row r="2095">
          <cell r="A2095">
            <v>1.4860999999999999E-2</v>
          </cell>
        </row>
        <row r="2096">
          <cell r="A2096">
            <v>2.7140999999999998E-2</v>
          </cell>
        </row>
        <row r="2097">
          <cell r="A2097">
            <v>1.2430999999999999E-2</v>
          </cell>
        </row>
        <row r="2098">
          <cell r="A2098">
            <v>1.6478E-2</v>
          </cell>
        </row>
        <row r="2099">
          <cell r="A2099">
            <v>2.1259E-2</v>
          </cell>
        </row>
        <row r="2100">
          <cell r="A2100">
            <v>1.5403E-2</v>
          </cell>
        </row>
        <row r="2101">
          <cell r="A2101">
            <v>1.6069E-2</v>
          </cell>
        </row>
        <row r="2102">
          <cell r="A2102">
            <v>2.2585999999999998E-2</v>
          </cell>
        </row>
        <row r="2103">
          <cell r="A2103">
            <v>2.1905000000000001E-2</v>
          </cell>
        </row>
        <row r="2104">
          <cell r="A2104">
            <v>2.5368000000000002E-2</v>
          </cell>
        </row>
        <row r="2105">
          <cell r="A2105">
            <v>6.0410000000000004E-3</v>
          </cell>
        </row>
        <row r="2106">
          <cell r="A2106">
            <v>2.0922E-2</v>
          </cell>
        </row>
        <row r="2107">
          <cell r="A2107">
            <v>1.7895999999999999E-2</v>
          </cell>
        </row>
        <row r="2108">
          <cell r="A2108">
            <v>9.1760000000000001E-3</v>
          </cell>
        </row>
        <row r="2109">
          <cell r="A2109">
            <v>1.3579000000000001E-2</v>
          </cell>
        </row>
        <row r="2110">
          <cell r="A2110">
            <v>2.3137999999999999E-2</v>
          </cell>
        </row>
        <row r="2111">
          <cell r="A2111">
            <v>1.9983000000000001E-2</v>
          </cell>
        </row>
        <row r="2112">
          <cell r="A2112">
            <v>5.424E-3</v>
          </cell>
        </row>
        <row r="2113">
          <cell r="A2113">
            <v>1.8953999999999999E-2</v>
          </cell>
        </row>
        <row r="2114">
          <cell r="A2114">
            <v>4.7080000000000004E-3</v>
          </cell>
        </row>
        <row r="2115">
          <cell r="A2115">
            <v>2.051E-2</v>
          </cell>
        </row>
        <row r="2116">
          <cell r="A2116">
            <v>2.1842E-2</v>
          </cell>
        </row>
        <row r="2117">
          <cell r="A2117">
            <v>8.6370000000000006E-3</v>
          </cell>
        </row>
        <row r="2118">
          <cell r="A2118">
            <v>1.9347E-2</v>
          </cell>
        </row>
        <row r="2119">
          <cell r="A2119">
            <v>1.2389000000000001E-2</v>
          </cell>
        </row>
        <row r="2120">
          <cell r="A2120">
            <v>2.2147E-2</v>
          </cell>
        </row>
        <row r="2121">
          <cell r="A2121">
            <v>2.0097E-2</v>
          </cell>
        </row>
        <row r="2122">
          <cell r="A2122">
            <v>2.1777000000000001E-2</v>
          </cell>
        </row>
        <row r="2123">
          <cell r="A2123">
            <v>2.1826000000000002E-2</v>
          </cell>
        </row>
        <row r="2124">
          <cell r="A2124">
            <v>2.4011000000000001E-2</v>
          </cell>
        </row>
        <row r="2125">
          <cell r="A2125">
            <v>2.4795000000000001E-2</v>
          </cell>
        </row>
        <row r="2126">
          <cell r="A2126">
            <v>2.7491999999999999E-2</v>
          </cell>
        </row>
        <row r="2127">
          <cell r="A2127">
            <v>1.8596999999999999E-2</v>
          </cell>
        </row>
        <row r="2128">
          <cell r="A2128">
            <v>1.9172000000000002E-2</v>
          </cell>
        </row>
        <row r="2129">
          <cell r="A2129">
            <v>2.1103E-2</v>
          </cell>
        </row>
        <row r="2130">
          <cell r="A2130">
            <v>1.9262999999999999E-2</v>
          </cell>
        </row>
        <row r="2131">
          <cell r="A2131">
            <v>2.3836E-2</v>
          </cell>
        </row>
        <row r="2132">
          <cell r="A2132">
            <v>2.3952999999999999E-2</v>
          </cell>
        </row>
        <row r="2133">
          <cell r="A2133">
            <v>1.5889E-2</v>
          </cell>
        </row>
        <row r="2134">
          <cell r="A2134">
            <v>1.5897999999999999E-2</v>
          </cell>
        </row>
        <row r="2135">
          <cell r="A2135">
            <v>2.1186E-2</v>
          </cell>
        </row>
        <row r="2136">
          <cell r="A2136">
            <v>2.3220999999999999E-2</v>
          </cell>
        </row>
        <row r="2137">
          <cell r="A2137">
            <v>2.0521000000000001E-2</v>
          </cell>
        </row>
        <row r="2138">
          <cell r="A2138">
            <v>2.0621E-2</v>
          </cell>
        </row>
        <row r="2139">
          <cell r="A2139">
            <v>2.0707E-2</v>
          </cell>
        </row>
        <row r="2140">
          <cell r="A2140">
            <v>2.6329000000000002E-2</v>
          </cell>
        </row>
        <row r="2141">
          <cell r="A2141">
            <v>1.9198E-2</v>
          </cell>
        </row>
        <row r="2142">
          <cell r="A2142">
            <v>2.3747000000000001E-2</v>
          </cell>
        </row>
        <row r="2143">
          <cell r="A2143">
            <v>1.6062E-2</v>
          </cell>
        </row>
        <row r="2144">
          <cell r="A2144">
            <v>1.6178000000000001E-2</v>
          </cell>
        </row>
        <row r="2145">
          <cell r="A2145">
            <v>2.0233999999999999E-2</v>
          </cell>
        </row>
        <row r="2146">
          <cell r="A2146">
            <v>2.3488999999999999E-2</v>
          </cell>
        </row>
        <row r="2147">
          <cell r="A2147">
            <v>1.5991999999999999E-2</v>
          </cell>
        </row>
        <row r="2148">
          <cell r="A2148">
            <v>3.0008E-2</v>
          </cell>
        </row>
        <row r="2149">
          <cell r="A2149">
            <v>1.9616999999999999E-2</v>
          </cell>
        </row>
        <row r="2150">
          <cell r="A2150">
            <v>2.4603E-2</v>
          </cell>
        </row>
        <row r="2151">
          <cell r="A2151">
            <v>2.1155E-2</v>
          </cell>
        </row>
        <row r="2152">
          <cell r="A2152">
            <v>2.4209999999999999E-2</v>
          </cell>
        </row>
        <row r="2153">
          <cell r="A2153">
            <v>1.4694E-2</v>
          </cell>
        </row>
        <row r="2154">
          <cell r="A2154">
            <v>1.8752999999999999E-2</v>
          </cell>
        </row>
        <row r="2155">
          <cell r="A2155">
            <v>2.2203000000000001E-2</v>
          </cell>
        </row>
        <row r="2156">
          <cell r="A2156">
            <v>2.5621999999999999E-2</v>
          </cell>
        </row>
        <row r="2157">
          <cell r="A2157">
            <v>2.4305E-2</v>
          </cell>
        </row>
        <row r="2158">
          <cell r="A2158">
            <v>9.9740000000000002E-3</v>
          </cell>
        </row>
        <row r="2159">
          <cell r="A2159">
            <v>2.0535000000000001E-2</v>
          </cell>
        </row>
        <row r="2160">
          <cell r="A2160">
            <v>1.8754E-2</v>
          </cell>
        </row>
        <row r="2161">
          <cell r="A2161">
            <v>1.9914999999999999E-2</v>
          </cell>
        </row>
        <row r="2162">
          <cell r="A2162">
            <v>1.7742000000000001E-2</v>
          </cell>
        </row>
        <row r="2163">
          <cell r="A2163">
            <v>2.2429000000000001E-2</v>
          </cell>
        </row>
        <row r="2164">
          <cell r="A2164">
            <v>2.4788000000000001E-2</v>
          </cell>
        </row>
        <row r="2165">
          <cell r="A2165">
            <v>1.2139E-2</v>
          </cell>
        </row>
        <row r="2166">
          <cell r="A2166">
            <v>1.9227000000000001E-2</v>
          </cell>
        </row>
        <row r="2167">
          <cell r="A2167">
            <v>2.1094999999999999E-2</v>
          </cell>
        </row>
        <row r="2168">
          <cell r="A2168">
            <v>2.1915E-2</v>
          </cell>
        </row>
        <row r="2169">
          <cell r="A2169">
            <v>2.4518000000000002E-2</v>
          </cell>
        </row>
        <row r="2170">
          <cell r="A2170">
            <v>2.0642000000000001E-2</v>
          </cell>
        </row>
        <row r="2171">
          <cell r="A2171">
            <v>2.1138000000000001E-2</v>
          </cell>
        </row>
        <row r="2172">
          <cell r="A2172">
            <v>2.1315000000000001E-2</v>
          </cell>
        </row>
        <row r="2173">
          <cell r="A2173">
            <v>3.3780999999999999E-2</v>
          </cell>
        </row>
        <row r="2174">
          <cell r="A2174">
            <v>1.2305999999999999E-2</v>
          </cell>
        </row>
        <row r="2175">
          <cell r="A2175">
            <v>1.2715000000000001E-2</v>
          </cell>
        </row>
        <row r="2176">
          <cell r="A2176">
            <v>1.993E-2</v>
          </cell>
        </row>
        <row r="2177">
          <cell r="A2177">
            <v>2.0711E-2</v>
          </cell>
        </row>
        <row r="2178">
          <cell r="A2178">
            <v>2.0830999999999999E-2</v>
          </cell>
        </row>
        <row r="2179">
          <cell r="A2179">
            <v>2.2346000000000001E-2</v>
          </cell>
        </row>
        <row r="2180">
          <cell r="A2180">
            <v>1.8987E-2</v>
          </cell>
        </row>
        <row r="2181">
          <cell r="A2181">
            <v>2.5451999999999999E-2</v>
          </cell>
        </row>
        <row r="2182">
          <cell r="A2182">
            <v>1.1416000000000001E-2</v>
          </cell>
        </row>
        <row r="2183">
          <cell r="A2183">
            <v>1.4812000000000001E-2</v>
          </cell>
        </row>
        <row r="2184">
          <cell r="A2184">
            <v>1.7163999999999999E-2</v>
          </cell>
        </row>
        <row r="2185">
          <cell r="A2185">
            <v>2.1972999999999999E-2</v>
          </cell>
        </row>
        <row r="2186">
          <cell r="A2186">
            <v>1.9174E-2</v>
          </cell>
        </row>
        <row r="2187">
          <cell r="A2187">
            <v>2.1174999999999999E-2</v>
          </cell>
        </row>
        <row r="2188">
          <cell r="A2188">
            <v>2.3106000000000002E-2</v>
          </cell>
        </row>
        <row r="2189">
          <cell r="A2189">
            <v>9.0849999999999993E-3</v>
          </cell>
        </row>
        <row r="2190">
          <cell r="A2190">
            <v>1.9741000000000002E-2</v>
          </cell>
        </row>
        <row r="2191">
          <cell r="A2191">
            <v>2.0216999999999999E-2</v>
          </cell>
        </row>
        <row r="2192">
          <cell r="A2192">
            <v>2.1691999999999999E-2</v>
          </cell>
        </row>
        <row r="2193">
          <cell r="A2193">
            <v>1.9515000000000001E-2</v>
          </cell>
        </row>
        <row r="2194">
          <cell r="A2194">
            <v>1.9864E-2</v>
          </cell>
        </row>
        <row r="2195">
          <cell r="A2195">
            <v>1.9911000000000002E-2</v>
          </cell>
        </row>
        <row r="2196">
          <cell r="A2196">
            <v>1.7783E-2</v>
          </cell>
        </row>
        <row r="2197">
          <cell r="A2197">
            <v>1.8941E-2</v>
          </cell>
        </row>
        <row r="2198">
          <cell r="A2198">
            <v>2.7029000000000001E-2</v>
          </cell>
        </row>
        <row r="2199">
          <cell r="A2199">
            <v>1.9452000000000001E-2</v>
          </cell>
        </row>
        <row r="2200">
          <cell r="A2200">
            <v>1.5351E-2</v>
          </cell>
        </row>
        <row r="2201">
          <cell r="A2201">
            <v>2.0407000000000002E-2</v>
          </cell>
        </row>
        <row r="2202">
          <cell r="A2202">
            <v>1.3827000000000001E-2</v>
          </cell>
        </row>
        <row r="2203">
          <cell r="A2203">
            <v>1.9418999999999999E-2</v>
          </cell>
        </row>
        <row r="2204">
          <cell r="A2204">
            <v>2.1839999999999998E-2</v>
          </cell>
        </row>
        <row r="2205">
          <cell r="A2205">
            <v>2.6168E-2</v>
          </cell>
        </row>
        <row r="2206">
          <cell r="A2206">
            <v>1.9612000000000001E-2</v>
          </cell>
        </row>
        <row r="2207">
          <cell r="A2207">
            <v>2.0434000000000001E-2</v>
          </cell>
        </row>
        <row r="2208">
          <cell r="A2208">
            <v>1.3368E-2</v>
          </cell>
        </row>
        <row r="2209">
          <cell r="A2209">
            <v>1.9788E-2</v>
          </cell>
        </row>
        <row r="2210">
          <cell r="A2210">
            <v>2.2387000000000001E-2</v>
          </cell>
        </row>
        <row r="2211">
          <cell r="A2211">
            <v>2.2657E-2</v>
          </cell>
        </row>
        <row r="2212">
          <cell r="A2212">
            <v>1.924E-2</v>
          </cell>
        </row>
        <row r="2213">
          <cell r="A2213">
            <v>2.0934999999999999E-2</v>
          </cell>
        </row>
        <row r="2214">
          <cell r="A2214">
            <v>2.2467999999999998E-2</v>
          </cell>
        </row>
        <row r="2215">
          <cell r="A2215">
            <v>1.9515000000000001E-2</v>
          </cell>
        </row>
        <row r="2216">
          <cell r="A2216">
            <v>1.9736E-2</v>
          </cell>
        </row>
        <row r="2217">
          <cell r="A2217">
            <v>2.0097E-2</v>
          </cell>
        </row>
        <row r="2218">
          <cell r="A2218">
            <v>2.2483E-2</v>
          </cell>
        </row>
        <row r="2219">
          <cell r="A2219">
            <v>2.4153999999999998E-2</v>
          </cell>
        </row>
        <row r="2220">
          <cell r="A2220">
            <v>2.2256999999999999E-2</v>
          </cell>
        </row>
        <row r="2221">
          <cell r="A2221">
            <v>2.2872E-2</v>
          </cell>
        </row>
        <row r="2222">
          <cell r="A2222">
            <v>1.9016999999999999E-2</v>
          </cell>
        </row>
        <row r="2223">
          <cell r="A2223">
            <v>2.5486000000000002E-2</v>
          </cell>
        </row>
        <row r="2224">
          <cell r="A2224">
            <v>1.2096000000000001E-2</v>
          </cell>
        </row>
        <row r="2225">
          <cell r="A2225">
            <v>1.4992E-2</v>
          </cell>
        </row>
        <row r="2226">
          <cell r="A2226">
            <v>1.7118999999999999E-2</v>
          </cell>
        </row>
        <row r="2227">
          <cell r="A2227">
            <v>1.5668999999999999E-2</v>
          </cell>
        </row>
        <row r="2228">
          <cell r="A2228">
            <v>2.2145000000000001E-2</v>
          </cell>
        </row>
        <row r="2229">
          <cell r="A2229">
            <v>2.6653E-2</v>
          </cell>
        </row>
        <row r="2230">
          <cell r="A2230">
            <v>1.5806000000000001E-2</v>
          </cell>
        </row>
        <row r="2231">
          <cell r="A2231">
            <v>1.8381999999999999E-2</v>
          </cell>
        </row>
        <row r="2232">
          <cell r="A2232">
            <v>2.1186E-2</v>
          </cell>
        </row>
        <row r="2233">
          <cell r="A2233">
            <v>2.1637E-2</v>
          </cell>
        </row>
        <row r="2234">
          <cell r="A2234">
            <v>2.8472999999999998E-2</v>
          </cell>
        </row>
        <row r="2235">
          <cell r="A2235">
            <v>2.0976999999999999E-2</v>
          </cell>
        </row>
        <row r="2236">
          <cell r="A2236">
            <v>1.41E-2</v>
          </cell>
        </row>
        <row r="2237">
          <cell r="A2237">
            <v>2.2966E-2</v>
          </cell>
        </row>
        <row r="2238">
          <cell r="A2238">
            <v>1.9401000000000002E-2</v>
          </cell>
        </row>
        <row r="2239">
          <cell r="A2239">
            <v>2.291E-2</v>
          </cell>
        </row>
        <row r="2240">
          <cell r="A2240">
            <v>1.3653999999999999E-2</v>
          </cell>
        </row>
        <row r="2241">
          <cell r="A2241">
            <v>1.9177E-2</v>
          </cell>
        </row>
        <row r="2242">
          <cell r="A2242">
            <v>1.9785000000000001E-2</v>
          </cell>
        </row>
        <row r="2243">
          <cell r="A2243">
            <v>2.8205999999999998E-2</v>
          </cell>
        </row>
        <row r="2244">
          <cell r="A2244">
            <v>2.0482E-2</v>
          </cell>
        </row>
        <row r="2245">
          <cell r="A2245">
            <v>1.3303000000000001E-2</v>
          </cell>
        </row>
        <row r="2246">
          <cell r="A2246">
            <v>1.5292999999999999E-2</v>
          </cell>
        </row>
        <row r="2247">
          <cell r="A2247">
            <v>1.9379E-2</v>
          </cell>
        </row>
        <row r="2248">
          <cell r="A2248">
            <v>2.2261E-2</v>
          </cell>
        </row>
        <row r="2249">
          <cell r="A2249">
            <v>2.9359E-2</v>
          </cell>
        </row>
        <row r="2250">
          <cell r="A2250">
            <v>2.0716999999999999E-2</v>
          </cell>
        </row>
        <row r="2251">
          <cell r="A2251">
            <v>2.5170000000000001E-2</v>
          </cell>
        </row>
        <row r="2252">
          <cell r="A2252">
            <v>1.7259E-2</v>
          </cell>
        </row>
        <row r="2253">
          <cell r="A2253">
            <v>1.8897000000000001E-2</v>
          </cell>
        </row>
        <row r="2254">
          <cell r="A2254">
            <v>2.1387E-2</v>
          </cell>
        </row>
        <row r="2255">
          <cell r="A2255">
            <v>2.1225999999999998E-2</v>
          </cell>
        </row>
        <row r="2256">
          <cell r="A2256">
            <v>2.0115999999999998E-2</v>
          </cell>
        </row>
        <row r="2257">
          <cell r="A2257">
            <v>2.1777000000000001E-2</v>
          </cell>
        </row>
        <row r="2258">
          <cell r="A2258">
            <v>2.1909000000000001E-2</v>
          </cell>
        </row>
        <row r="2259">
          <cell r="A2259">
            <v>2.3220999999999999E-2</v>
          </cell>
        </row>
        <row r="2260">
          <cell r="A2260">
            <v>7.1549999999999999E-3</v>
          </cell>
        </row>
        <row r="2261">
          <cell r="A2261">
            <v>1.9560999999999999E-2</v>
          </cell>
        </row>
        <row r="2262">
          <cell r="A2262">
            <v>1.5622E-2</v>
          </cell>
        </row>
        <row r="2263">
          <cell r="A2263">
            <v>1.9518000000000001E-2</v>
          </cell>
        </row>
        <row r="2264">
          <cell r="A2264">
            <v>1.4711999999999999E-2</v>
          </cell>
        </row>
        <row r="2265">
          <cell r="A2265">
            <v>1.8859000000000001E-2</v>
          </cell>
        </row>
        <row r="2266">
          <cell r="A2266">
            <v>1.9278E-2</v>
          </cell>
        </row>
        <row r="2267">
          <cell r="A2267">
            <v>2.2114999999999999E-2</v>
          </cell>
        </row>
        <row r="2268">
          <cell r="A2268">
            <v>1.4316000000000001E-2</v>
          </cell>
        </row>
        <row r="2269">
          <cell r="A2269">
            <v>2.0466000000000002E-2</v>
          </cell>
        </row>
        <row r="2270">
          <cell r="A2270">
            <v>2.1052999999999999E-2</v>
          </cell>
        </row>
        <row r="2271">
          <cell r="A2271">
            <v>2.3203999999999999E-2</v>
          </cell>
        </row>
        <row r="2272">
          <cell r="A2272">
            <v>1.3018999999999999E-2</v>
          </cell>
        </row>
        <row r="2273">
          <cell r="A2273">
            <v>2.2603000000000002E-2</v>
          </cell>
        </row>
        <row r="2274">
          <cell r="A2274">
            <v>1.7552000000000002E-2</v>
          </cell>
        </row>
        <row r="2275">
          <cell r="A2275">
            <v>1.4067E-2</v>
          </cell>
        </row>
        <row r="2276">
          <cell r="A2276">
            <v>1.8672999999999999E-2</v>
          </cell>
        </row>
        <row r="2277">
          <cell r="A2277">
            <v>1.9769999999999999E-2</v>
          </cell>
        </row>
        <row r="2278">
          <cell r="A2278">
            <v>2.1239000000000001E-2</v>
          </cell>
        </row>
        <row r="2279">
          <cell r="A2279">
            <v>2.6466E-2</v>
          </cell>
        </row>
        <row r="2280">
          <cell r="A2280">
            <v>1.5462E-2</v>
          </cell>
        </row>
        <row r="2281">
          <cell r="A2281">
            <v>2.1607000000000001E-2</v>
          </cell>
        </row>
        <row r="2282">
          <cell r="A2282">
            <v>2.2270999999999999E-2</v>
          </cell>
        </row>
        <row r="2283">
          <cell r="A2283">
            <v>2.6915000000000001E-2</v>
          </cell>
        </row>
        <row r="2284">
          <cell r="A2284">
            <v>1.3707E-2</v>
          </cell>
        </row>
        <row r="2285">
          <cell r="A2285">
            <v>1.5722E-2</v>
          </cell>
        </row>
        <row r="2286">
          <cell r="A2286">
            <v>2.1877000000000001E-2</v>
          </cell>
        </row>
        <row r="2287">
          <cell r="A2287">
            <v>2.2568000000000001E-2</v>
          </cell>
        </row>
        <row r="2288">
          <cell r="A2288">
            <v>1.8237E-2</v>
          </cell>
        </row>
        <row r="2289">
          <cell r="A2289">
            <v>1.8686000000000001E-2</v>
          </cell>
        </row>
        <row r="2290">
          <cell r="A2290">
            <v>1.4479000000000001E-2</v>
          </cell>
        </row>
        <row r="2291">
          <cell r="A2291">
            <v>2.0039999999999999E-2</v>
          </cell>
        </row>
        <row r="2292">
          <cell r="A2292">
            <v>2.2350999999999999E-2</v>
          </cell>
        </row>
        <row r="2293">
          <cell r="A2293">
            <v>2.9628999999999999E-2</v>
          </cell>
        </row>
        <row r="2294">
          <cell r="A2294">
            <v>1.3095000000000001E-2</v>
          </cell>
        </row>
        <row r="2295">
          <cell r="A2295">
            <v>1.9546999999999998E-2</v>
          </cell>
        </row>
        <row r="2296">
          <cell r="A2296">
            <v>1.2645E-2</v>
          </cell>
        </row>
        <row r="2297">
          <cell r="A2297">
            <v>1.6920999999999999E-2</v>
          </cell>
        </row>
        <row r="2298">
          <cell r="A2298">
            <v>1.8859999999999998E-2</v>
          </cell>
        </row>
        <row r="2299">
          <cell r="A2299">
            <v>1.9148999999999999E-2</v>
          </cell>
        </row>
        <row r="2300">
          <cell r="A2300">
            <v>2.06E-2</v>
          </cell>
        </row>
        <row r="2301">
          <cell r="A2301">
            <v>1.2886999999999999E-2</v>
          </cell>
        </row>
        <row r="2302">
          <cell r="A2302">
            <v>1.5517E-2</v>
          </cell>
        </row>
        <row r="2303">
          <cell r="A2303">
            <v>1.9820000000000001E-2</v>
          </cell>
        </row>
        <row r="2304">
          <cell r="A2304">
            <v>2.5906999999999999E-2</v>
          </cell>
        </row>
        <row r="2305">
          <cell r="A2305">
            <v>1.2361E-2</v>
          </cell>
        </row>
        <row r="2306">
          <cell r="A2306">
            <v>2.0108000000000001E-2</v>
          </cell>
        </row>
        <row r="2307">
          <cell r="A2307">
            <v>2.0183E-2</v>
          </cell>
        </row>
        <row r="2308">
          <cell r="A2308">
            <v>3.4548000000000002E-2</v>
          </cell>
        </row>
        <row r="2309">
          <cell r="A2309">
            <v>1.9958E-2</v>
          </cell>
        </row>
        <row r="2310">
          <cell r="A2310">
            <v>1.9983000000000001E-2</v>
          </cell>
        </row>
        <row r="2311">
          <cell r="A2311">
            <v>1.5512E-2</v>
          </cell>
        </row>
        <row r="2312">
          <cell r="A2312">
            <v>2.3730000000000001E-2</v>
          </cell>
        </row>
        <row r="2313">
          <cell r="A2313">
            <v>1.7905999999999998E-2</v>
          </cell>
        </row>
        <row r="2314">
          <cell r="A2314">
            <v>2.2494E-2</v>
          </cell>
        </row>
        <row r="2315">
          <cell r="A2315">
            <v>2.0819000000000001E-2</v>
          </cell>
        </row>
        <row r="2316">
          <cell r="A2316">
            <v>2.2329999999999999E-2</v>
          </cell>
        </row>
        <row r="2317">
          <cell r="A2317">
            <v>2.3993E-2</v>
          </cell>
        </row>
        <row r="2318">
          <cell r="A2318">
            <v>1.5332E-2</v>
          </cell>
        </row>
        <row r="2319">
          <cell r="A2319">
            <v>1.9313E-2</v>
          </cell>
        </row>
        <row r="2320">
          <cell r="A2320">
            <v>2.0247999999999999E-2</v>
          </cell>
        </row>
        <row r="2321">
          <cell r="A2321">
            <v>1.9494999999999998E-2</v>
          </cell>
        </row>
        <row r="2322">
          <cell r="A2322">
            <v>2.2114000000000002E-2</v>
          </cell>
        </row>
        <row r="2323">
          <cell r="A2323">
            <v>2.8702999999999999E-2</v>
          </cell>
        </row>
        <row r="2324">
          <cell r="A2324">
            <v>1.5970000000000002E-2</v>
          </cell>
        </row>
        <row r="2325">
          <cell r="A2325">
            <v>1.6414000000000002E-2</v>
          </cell>
        </row>
        <row r="2326">
          <cell r="A2326">
            <v>1.8785E-2</v>
          </cell>
        </row>
        <row r="2327">
          <cell r="A2327">
            <v>2.0903999999999999E-2</v>
          </cell>
        </row>
        <row r="2328">
          <cell r="A2328">
            <v>2.3188E-2</v>
          </cell>
        </row>
        <row r="2329">
          <cell r="A2329">
            <v>1.8435E-2</v>
          </cell>
        </row>
        <row r="2330">
          <cell r="A2330">
            <v>2.0258000000000002E-2</v>
          </cell>
        </row>
        <row r="2331">
          <cell r="A2331">
            <v>2.0580000000000001E-2</v>
          </cell>
        </row>
        <row r="2332">
          <cell r="A2332">
            <v>2.5118000000000001E-2</v>
          </cell>
        </row>
        <row r="2333">
          <cell r="A2333">
            <v>2.5325E-2</v>
          </cell>
        </row>
        <row r="2334">
          <cell r="A2334">
            <v>1.3724E-2</v>
          </cell>
        </row>
        <row r="2335">
          <cell r="A2335">
            <v>2.1575E-2</v>
          </cell>
        </row>
        <row r="2336">
          <cell r="A2336">
            <v>2.4330000000000001E-2</v>
          </cell>
        </row>
        <row r="2337">
          <cell r="A2337">
            <v>1.9480000000000001E-2</v>
          </cell>
        </row>
        <row r="2338">
          <cell r="A2338">
            <v>2.1221E-2</v>
          </cell>
        </row>
        <row r="2339">
          <cell r="A2339">
            <v>1.9186000000000002E-2</v>
          </cell>
        </row>
        <row r="2340">
          <cell r="A2340">
            <v>2.6275E-2</v>
          </cell>
        </row>
        <row r="2341">
          <cell r="A2341">
            <v>1.8939999999999999E-2</v>
          </cell>
        </row>
        <row r="2342">
          <cell r="A2342">
            <v>1.9108E-2</v>
          </cell>
        </row>
        <row r="2343">
          <cell r="A2343">
            <v>2.2138000000000001E-2</v>
          </cell>
        </row>
        <row r="2344">
          <cell r="A2344">
            <v>9.273E-3</v>
          </cell>
        </row>
        <row r="2345">
          <cell r="A2345">
            <v>1.9694E-2</v>
          </cell>
        </row>
        <row r="2346">
          <cell r="A2346">
            <v>1.2621E-2</v>
          </cell>
        </row>
        <row r="2347">
          <cell r="A2347">
            <v>1.8298999999999999E-2</v>
          </cell>
        </row>
        <row r="2348">
          <cell r="A2348">
            <v>1.9619000000000001E-2</v>
          </cell>
        </row>
        <row r="2349">
          <cell r="A2349">
            <v>2.1423000000000001E-2</v>
          </cell>
        </row>
        <row r="2350">
          <cell r="A2350">
            <v>2.3382E-2</v>
          </cell>
        </row>
        <row r="2351">
          <cell r="A2351">
            <v>2.5482999999999999E-2</v>
          </cell>
        </row>
        <row r="2352">
          <cell r="A2352">
            <v>1.2494E-2</v>
          </cell>
        </row>
        <row r="2353">
          <cell r="A2353">
            <v>1.8749999999999999E-2</v>
          </cell>
        </row>
        <row r="2354">
          <cell r="A2354">
            <v>2.0702999999999999E-2</v>
          </cell>
        </row>
        <row r="2355">
          <cell r="A2355">
            <v>2.4747999999999999E-2</v>
          </cell>
        </row>
        <row r="2356">
          <cell r="A2356">
            <v>2.5003999999999998E-2</v>
          </cell>
        </row>
        <row r="2357">
          <cell r="A2357">
            <v>9.9959999999999997E-3</v>
          </cell>
        </row>
        <row r="2358">
          <cell r="A2358">
            <v>2.4117E-2</v>
          </cell>
        </row>
        <row r="2359">
          <cell r="A2359">
            <v>2.9759000000000001E-2</v>
          </cell>
        </row>
        <row r="2360">
          <cell r="A2360">
            <v>1.4449E-2</v>
          </cell>
        </row>
        <row r="2361">
          <cell r="A2361">
            <v>2.2075000000000001E-2</v>
          </cell>
        </row>
        <row r="2362">
          <cell r="A2362">
            <v>2.3442000000000001E-2</v>
          </cell>
        </row>
        <row r="2363">
          <cell r="A2363">
            <v>2.4289000000000002E-2</v>
          </cell>
        </row>
        <row r="2364">
          <cell r="A2364">
            <v>2.5635999999999999E-2</v>
          </cell>
        </row>
        <row r="2365">
          <cell r="A2365">
            <v>1.7673999999999999E-2</v>
          </cell>
        </row>
        <row r="2366">
          <cell r="A2366">
            <v>1.2139E-2</v>
          </cell>
        </row>
        <row r="2367">
          <cell r="A2367">
            <v>1.9843E-2</v>
          </cell>
        </row>
        <row r="2368">
          <cell r="A2368">
            <v>2.3925999999999999E-2</v>
          </cell>
        </row>
        <row r="2369">
          <cell r="A2369">
            <v>1.0805E-2</v>
          </cell>
        </row>
        <row r="2370">
          <cell r="A2370">
            <v>1.1441E-2</v>
          </cell>
        </row>
        <row r="2371">
          <cell r="A2371">
            <v>2.3449000000000001E-2</v>
          </cell>
        </row>
        <row r="2372">
          <cell r="A2372">
            <v>2.0698000000000001E-2</v>
          </cell>
        </row>
        <row r="2373">
          <cell r="A2373">
            <v>1.4101000000000001E-2</v>
          </cell>
        </row>
        <row r="2374">
          <cell r="A2374">
            <v>1.6580999999999999E-2</v>
          </cell>
        </row>
        <row r="2375">
          <cell r="A2375">
            <v>1.9019999999999999E-2</v>
          </cell>
        </row>
        <row r="2376">
          <cell r="A2376">
            <v>2.1592E-2</v>
          </cell>
        </row>
        <row r="2377">
          <cell r="A2377">
            <v>2.1614000000000001E-2</v>
          </cell>
        </row>
        <row r="2378">
          <cell r="A2378">
            <v>2.3559E-2</v>
          </cell>
        </row>
        <row r="2379">
          <cell r="A2379">
            <v>2.4065E-2</v>
          </cell>
        </row>
        <row r="2380">
          <cell r="A2380">
            <v>1.9231000000000002E-2</v>
          </cell>
        </row>
        <row r="2381">
          <cell r="A2381">
            <v>1.8924E-2</v>
          </cell>
        </row>
        <row r="2382">
          <cell r="A2382">
            <v>1.8782E-2</v>
          </cell>
        </row>
        <row r="2383">
          <cell r="A2383">
            <v>2.5551000000000001E-2</v>
          </cell>
        </row>
        <row r="2384">
          <cell r="A2384">
            <v>2.0485E-2</v>
          </cell>
        </row>
        <row r="2385">
          <cell r="A2385">
            <v>2.4167999999999999E-2</v>
          </cell>
        </row>
        <row r="2386">
          <cell r="A2386">
            <v>1.7874999999999999E-2</v>
          </cell>
        </row>
        <row r="2387">
          <cell r="A2387">
            <v>1.8268E-2</v>
          </cell>
        </row>
        <row r="2388">
          <cell r="A2388">
            <v>1.856E-2</v>
          </cell>
        </row>
        <row r="2389">
          <cell r="A2389">
            <v>1.8589999999999999E-2</v>
          </cell>
        </row>
        <row r="2390">
          <cell r="A2390">
            <v>2.0650999999999999E-2</v>
          </cell>
        </row>
        <row r="2391">
          <cell r="A2391">
            <v>2.1031000000000001E-2</v>
          </cell>
        </row>
        <row r="2392">
          <cell r="A2392">
            <v>2.1982000000000002E-2</v>
          </cell>
        </row>
        <row r="2393">
          <cell r="A2393">
            <v>2.4691000000000001E-2</v>
          </cell>
        </row>
        <row r="2394">
          <cell r="A2394">
            <v>1.8551000000000002E-2</v>
          </cell>
        </row>
        <row r="2395">
          <cell r="A2395">
            <v>2.1474E-2</v>
          </cell>
        </row>
        <row r="2396">
          <cell r="A2396">
            <v>1.7909999999999999E-2</v>
          </cell>
        </row>
        <row r="2397">
          <cell r="A2397">
            <v>1.9060000000000001E-2</v>
          </cell>
        </row>
        <row r="2398">
          <cell r="A2398">
            <v>1.9102000000000001E-2</v>
          </cell>
        </row>
        <row r="2399">
          <cell r="A2399">
            <v>9.4999999999999998E-3</v>
          </cell>
        </row>
        <row r="2400">
          <cell r="A2400">
            <v>1.4886999999999999E-2</v>
          </cell>
        </row>
        <row r="2401">
          <cell r="A2401">
            <v>2.2735999999999999E-2</v>
          </cell>
        </row>
        <row r="2402">
          <cell r="A2402">
            <v>2.4437E-2</v>
          </cell>
        </row>
        <row r="2403">
          <cell r="A2403">
            <v>1.9417E-2</v>
          </cell>
        </row>
        <row r="2404">
          <cell r="A2404">
            <v>2.2762999999999999E-2</v>
          </cell>
        </row>
        <row r="2405">
          <cell r="A2405">
            <v>1.5571E-2</v>
          </cell>
        </row>
        <row r="2406">
          <cell r="A2406">
            <v>1.8912999999999999E-2</v>
          </cell>
        </row>
        <row r="2407">
          <cell r="A2407">
            <v>2.0368000000000001E-2</v>
          </cell>
        </row>
        <row r="2408">
          <cell r="A2408">
            <v>2.2651999999999999E-2</v>
          </cell>
        </row>
        <row r="2409">
          <cell r="A2409">
            <v>2.5940999999999999E-2</v>
          </cell>
        </row>
        <row r="2410">
          <cell r="A2410">
            <v>1.9938000000000001E-2</v>
          </cell>
        </row>
        <row r="2411">
          <cell r="A2411">
            <v>2.1488E-2</v>
          </cell>
        </row>
        <row r="2412">
          <cell r="A2412">
            <v>1.4855999999999999E-2</v>
          </cell>
        </row>
        <row r="2413">
          <cell r="A2413">
            <v>2.3317000000000001E-2</v>
          </cell>
        </row>
        <row r="2414">
          <cell r="A2414">
            <v>1.4767000000000001E-2</v>
          </cell>
        </row>
        <row r="2415">
          <cell r="A2415">
            <v>1.8002000000000001E-2</v>
          </cell>
        </row>
        <row r="2416">
          <cell r="A2416">
            <v>1.8239999999999999E-2</v>
          </cell>
        </row>
        <row r="2417">
          <cell r="A2417">
            <v>1.9049E-2</v>
          </cell>
        </row>
        <row r="2418">
          <cell r="A2418">
            <v>2.0399E-2</v>
          </cell>
        </row>
        <row r="2419">
          <cell r="A2419">
            <v>1.8792E-2</v>
          </cell>
        </row>
        <row r="2420">
          <cell r="A2420">
            <v>2.1586999999999999E-2</v>
          </cell>
        </row>
        <row r="2421">
          <cell r="A2421">
            <v>2.2487E-2</v>
          </cell>
        </row>
        <row r="2422">
          <cell r="A2422">
            <v>1.1284000000000001E-2</v>
          </cell>
        </row>
        <row r="2423">
          <cell r="A2423">
            <v>1.4203E-2</v>
          </cell>
        </row>
        <row r="2424">
          <cell r="A2424">
            <v>1.9067000000000001E-2</v>
          </cell>
        </row>
        <row r="2425">
          <cell r="A2425">
            <v>2.0598999999999999E-2</v>
          </cell>
        </row>
        <row r="2426">
          <cell r="A2426">
            <v>2.1316999999999999E-2</v>
          </cell>
        </row>
        <row r="2427">
          <cell r="A2427">
            <v>2.2051999999999999E-2</v>
          </cell>
        </row>
        <row r="2428">
          <cell r="A2428">
            <v>1.8832999999999999E-2</v>
          </cell>
        </row>
        <row r="2429">
          <cell r="A2429">
            <v>2.0029999999999999E-2</v>
          </cell>
        </row>
        <row r="2430">
          <cell r="A2430">
            <v>2.2164E-2</v>
          </cell>
        </row>
        <row r="2431">
          <cell r="A2431">
            <v>2.5111999999999999E-2</v>
          </cell>
        </row>
        <row r="2432">
          <cell r="A2432">
            <v>1.4146000000000001E-2</v>
          </cell>
        </row>
        <row r="2433">
          <cell r="A2433">
            <v>1.966E-2</v>
          </cell>
        </row>
        <row r="2434">
          <cell r="A2434">
            <v>1.7871999999999999E-2</v>
          </cell>
        </row>
        <row r="2435">
          <cell r="A2435">
            <v>1.6899999999999998E-2</v>
          </cell>
        </row>
        <row r="2436">
          <cell r="A2436">
            <v>2.2814000000000001E-2</v>
          </cell>
        </row>
        <row r="2437">
          <cell r="A2437">
            <v>1.8127000000000001E-2</v>
          </cell>
        </row>
        <row r="2438">
          <cell r="A2438">
            <v>1.9907000000000001E-2</v>
          </cell>
        </row>
        <row r="2439">
          <cell r="A2439">
            <v>2.1901E-2</v>
          </cell>
        </row>
        <row r="2440">
          <cell r="A2440">
            <v>2.7335000000000002E-2</v>
          </cell>
        </row>
        <row r="2441">
          <cell r="A2441">
            <v>1.6108999999999998E-2</v>
          </cell>
        </row>
        <row r="2442">
          <cell r="A2442">
            <v>1.4239E-2</v>
          </cell>
        </row>
        <row r="2443">
          <cell r="A2443">
            <v>1.5409000000000001E-2</v>
          </cell>
        </row>
        <row r="2444">
          <cell r="A2444">
            <v>1.8339999999999999E-2</v>
          </cell>
        </row>
        <row r="2445">
          <cell r="A2445">
            <v>2.0507000000000001E-2</v>
          </cell>
        </row>
        <row r="2446">
          <cell r="A2446">
            <v>2.1073999999999999E-2</v>
          </cell>
        </row>
        <row r="2447">
          <cell r="A2447">
            <v>1.072E-2</v>
          </cell>
        </row>
        <row r="2448">
          <cell r="A2448">
            <v>2.2734999999999998E-2</v>
          </cell>
        </row>
        <row r="2449">
          <cell r="A2449">
            <v>1.8381999999999999E-2</v>
          </cell>
        </row>
        <row r="2450">
          <cell r="A2450">
            <v>2.2412999999999999E-2</v>
          </cell>
        </row>
        <row r="2451">
          <cell r="A2451">
            <v>1.6433E-2</v>
          </cell>
        </row>
        <row r="2452">
          <cell r="A2452">
            <v>2.0421000000000002E-2</v>
          </cell>
        </row>
        <row r="2453">
          <cell r="A2453">
            <v>6.3489999999999996E-3</v>
          </cell>
        </row>
        <row r="2454">
          <cell r="A2454">
            <v>8.6479999999999994E-3</v>
          </cell>
        </row>
        <row r="2455">
          <cell r="A2455">
            <v>1.7557E-2</v>
          </cell>
        </row>
        <row r="2456">
          <cell r="A2456">
            <v>1.7954999999999999E-2</v>
          </cell>
        </row>
        <row r="2457">
          <cell r="A2457">
            <v>1.9684E-2</v>
          </cell>
        </row>
        <row r="2458">
          <cell r="A2458">
            <v>2.4867E-2</v>
          </cell>
        </row>
        <row r="2459">
          <cell r="A2459">
            <v>1.7174999999999999E-2</v>
          </cell>
        </row>
        <row r="2460">
          <cell r="A2460">
            <v>2.8315E-2</v>
          </cell>
        </row>
        <row r="2461">
          <cell r="A2461">
            <v>1.8825000000000001E-2</v>
          </cell>
        </row>
        <row r="2462">
          <cell r="A2462">
            <v>2.1250000000000002E-2</v>
          </cell>
        </row>
        <row r="2463">
          <cell r="A2463">
            <v>2.2055000000000002E-2</v>
          </cell>
        </row>
        <row r="2464">
          <cell r="A2464">
            <v>1.4200000000000001E-2</v>
          </cell>
        </row>
        <row r="2465">
          <cell r="A2465">
            <v>1.8499999999999999E-2</v>
          </cell>
        </row>
        <row r="2466">
          <cell r="A2466">
            <v>1.8501E-2</v>
          </cell>
        </row>
        <row r="2467">
          <cell r="A2467">
            <v>6.4390000000000003E-3</v>
          </cell>
        </row>
        <row r="2468">
          <cell r="A2468">
            <v>1.6879999999999999E-2</v>
          </cell>
        </row>
        <row r="2469">
          <cell r="A2469">
            <v>1.7555999999999999E-2</v>
          </cell>
        </row>
        <row r="2470">
          <cell r="A2470">
            <v>2.0872000000000002E-2</v>
          </cell>
        </row>
        <row r="2471">
          <cell r="A2471">
            <v>2.4403999999999999E-2</v>
          </cell>
        </row>
        <row r="2472">
          <cell r="A2472">
            <v>2.6997E-2</v>
          </cell>
        </row>
        <row r="2473">
          <cell r="A2473">
            <v>1.8733E-2</v>
          </cell>
        </row>
        <row r="2474">
          <cell r="A2474">
            <v>1.3124E-2</v>
          </cell>
        </row>
        <row r="2475">
          <cell r="A2475">
            <v>1.7256000000000001E-2</v>
          </cell>
        </row>
        <row r="2476">
          <cell r="A2476">
            <v>2.1510999999999999E-2</v>
          </cell>
        </row>
        <row r="2477">
          <cell r="A2477">
            <v>1.9692999999999999E-2</v>
          </cell>
        </row>
        <row r="2478">
          <cell r="A2478">
            <v>2.2884999999999999E-2</v>
          </cell>
        </row>
        <row r="2479">
          <cell r="A2479">
            <v>1.7850999999999999E-2</v>
          </cell>
        </row>
        <row r="2480">
          <cell r="A2480">
            <v>2.4348999999999999E-2</v>
          </cell>
        </row>
        <row r="2481">
          <cell r="A2481">
            <v>1.8237E-2</v>
          </cell>
        </row>
        <row r="2482">
          <cell r="A2482">
            <v>2.4334999999999999E-2</v>
          </cell>
        </row>
        <row r="2483">
          <cell r="A2483">
            <v>2.1026E-2</v>
          </cell>
        </row>
        <row r="2484">
          <cell r="A2484">
            <v>2.6617999999999999E-2</v>
          </cell>
        </row>
        <row r="2485">
          <cell r="A2485">
            <v>1.4666999999999999E-2</v>
          </cell>
        </row>
        <row r="2486">
          <cell r="A2486">
            <v>2.3706000000000001E-2</v>
          </cell>
        </row>
        <row r="2487">
          <cell r="A2487">
            <v>1.7503999999999999E-2</v>
          </cell>
        </row>
        <row r="2488">
          <cell r="A2488">
            <v>2.257E-2</v>
          </cell>
        </row>
        <row r="2489">
          <cell r="A2489">
            <v>2.1311E-2</v>
          </cell>
        </row>
        <row r="2490">
          <cell r="A2490">
            <v>2.5559999999999999E-2</v>
          </cell>
        </row>
        <row r="2491">
          <cell r="A2491">
            <v>1.7253999999999999E-2</v>
          </cell>
        </row>
        <row r="2492">
          <cell r="A2492">
            <v>2.0138E-2</v>
          </cell>
        </row>
        <row r="2493">
          <cell r="A2493">
            <v>2.554E-2</v>
          </cell>
        </row>
        <row r="2494">
          <cell r="A2494">
            <v>1.8350999999999999E-2</v>
          </cell>
        </row>
        <row r="2495">
          <cell r="A2495">
            <v>2.0400999999999999E-2</v>
          </cell>
        </row>
        <row r="2496">
          <cell r="A2496">
            <v>2.4944999999999998E-2</v>
          </cell>
        </row>
        <row r="2497">
          <cell r="A2497">
            <v>1.9075000000000002E-2</v>
          </cell>
        </row>
        <row r="2498">
          <cell r="A2498">
            <v>1.9348000000000001E-2</v>
          </cell>
        </row>
        <row r="2499">
          <cell r="A2499">
            <v>1.5953999999999999E-2</v>
          </cell>
        </row>
        <row r="2500">
          <cell r="A2500">
            <v>2.1783E-2</v>
          </cell>
        </row>
        <row r="2501">
          <cell r="A2501">
            <v>2.5756999999999999E-2</v>
          </cell>
        </row>
        <row r="2502">
          <cell r="A2502">
            <v>1.8794000000000002E-2</v>
          </cell>
        </row>
        <row r="2503">
          <cell r="A2503">
            <v>2.3380000000000001E-2</v>
          </cell>
        </row>
        <row r="2504">
          <cell r="A2504">
            <v>2.4844000000000001E-2</v>
          </cell>
        </row>
        <row r="2505">
          <cell r="A2505">
            <v>1.9709000000000001E-2</v>
          </cell>
        </row>
        <row r="2506">
          <cell r="A2506">
            <v>2.0983999999999999E-2</v>
          </cell>
        </row>
        <row r="2507">
          <cell r="A2507">
            <v>2.3549E-2</v>
          </cell>
        </row>
        <row r="2508">
          <cell r="A2508">
            <v>2.4462999999999999E-2</v>
          </cell>
        </row>
        <row r="2509">
          <cell r="A2509">
            <v>2.6106000000000001E-2</v>
          </cell>
        </row>
        <row r="2510">
          <cell r="A2510">
            <v>2.852E-2</v>
          </cell>
        </row>
        <row r="2511">
          <cell r="A2511">
            <v>2.1822000000000001E-2</v>
          </cell>
        </row>
        <row r="2512">
          <cell r="A2512">
            <v>1.5204000000000001E-2</v>
          </cell>
        </row>
        <row r="2513">
          <cell r="A2513">
            <v>2.5808999999999999E-2</v>
          </cell>
        </row>
        <row r="2514">
          <cell r="A2514">
            <v>2.5928E-2</v>
          </cell>
        </row>
        <row r="2515">
          <cell r="A2515">
            <v>1.9036000000000001E-2</v>
          </cell>
        </row>
        <row r="2516">
          <cell r="A2516">
            <v>2.0281E-2</v>
          </cell>
        </row>
        <row r="2517">
          <cell r="A2517">
            <v>2.1177999999999999E-2</v>
          </cell>
        </row>
        <row r="2518">
          <cell r="A2518">
            <v>2.5512E-2</v>
          </cell>
        </row>
        <row r="2519">
          <cell r="A2519">
            <v>2.2405999999999999E-2</v>
          </cell>
        </row>
        <row r="2520">
          <cell r="A2520">
            <v>1.8615E-2</v>
          </cell>
        </row>
        <row r="2521">
          <cell r="A2521">
            <v>2.232E-2</v>
          </cell>
        </row>
        <row r="2522">
          <cell r="A2522">
            <v>1.8525E-2</v>
          </cell>
        </row>
        <row r="2523">
          <cell r="A2523">
            <v>1.9411999999999999E-2</v>
          </cell>
        </row>
        <row r="2524">
          <cell r="A2524">
            <v>2.0223999999999999E-2</v>
          </cell>
        </row>
        <row r="2525">
          <cell r="A2525">
            <v>2.086E-2</v>
          </cell>
        </row>
        <row r="2526">
          <cell r="A2526">
            <v>3.6189999999999998E-3</v>
          </cell>
        </row>
        <row r="2527">
          <cell r="A2527">
            <v>1.8891000000000002E-2</v>
          </cell>
        </row>
        <row r="2528">
          <cell r="A2528">
            <v>1.9334E-2</v>
          </cell>
        </row>
        <row r="2529">
          <cell r="A2529">
            <v>2.1583999999999999E-2</v>
          </cell>
        </row>
        <row r="2530">
          <cell r="A2530">
            <v>1.8811000000000001E-2</v>
          </cell>
        </row>
        <row r="2531">
          <cell r="A2531">
            <v>1.9123000000000001E-2</v>
          </cell>
        </row>
        <row r="2532">
          <cell r="A2532">
            <v>1.9741999999999999E-2</v>
          </cell>
        </row>
        <row r="2533">
          <cell r="A2533">
            <v>2.034E-2</v>
          </cell>
        </row>
        <row r="2534">
          <cell r="A2534">
            <v>2.0500000000000001E-2</v>
          </cell>
        </row>
        <row r="2535">
          <cell r="A2535">
            <v>1.3006E-2</v>
          </cell>
        </row>
        <row r="2536">
          <cell r="A2536">
            <v>1.9602000000000001E-2</v>
          </cell>
        </row>
        <row r="2537">
          <cell r="A2537">
            <v>2.2751E-2</v>
          </cell>
        </row>
        <row r="2538">
          <cell r="A2538">
            <v>1.5765000000000001E-2</v>
          </cell>
        </row>
        <row r="2539">
          <cell r="A2539">
            <v>1.5914000000000001E-2</v>
          </cell>
        </row>
        <row r="2540">
          <cell r="A2540">
            <v>1.2141000000000001E-2</v>
          </cell>
        </row>
        <row r="2541">
          <cell r="A2541">
            <v>2.0306999999999999E-2</v>
          </cell>
        </row>
        <row r="2542">
          <cell r="A2542">
            <v>1.9564000000000002E-2</v>
          </cell>
        </row>
        <row r="2543">
          <cell r="A2543">
            <v>2.0185999999999999E-2</v>
          </cell>
        </row>
        <row r="2544">
          <cell r="A2544">
            <v>2.929E-2</v>
          </cell>
        </row>
        <row r="2545">
          <cell r="A2545">
            <v>1.6808E-2</v>
          </cell>
        </row>
        <row r="2546">
          <cell r="A2546">
            <v>2.0204E-2</v>
          </cell>
        </row>
        <row r="2547">
          <cell r="A2547">
            <v>2.2522E-2</v>
          </cell>
        </row>
        <row r="2548">
          <cell r="A2548">
            <v>1.1795E-2</v>
          </cell>
        </row>
        <row r="2549">
          <cell r="A2549">
            <v>1.3112E-2</v>
          </cell>
        </row>
        <row r="2550">
          <cell r="A2550">
            <v>1.6913999999999998E-2</v>
          </cell>
        </row>
        <row r="2551">
          <cell r="A2551">
            <v>1.7933999999999999E-2</v>
          </cell>
        </row>
        <row r="2552">
          <cell r="A2552">
            <v>1.9776999999999999E-2</v>
          </cell>
        </row>
        <row r="2553">
          <cell r="A2553">
            <v>2.2120999999999998E-2</v>
          </cell>
        </row>
        <row r="2554">
          <cell r="A2554">
            <v>2.3486E-2</v>
          </cell>
        </row>
        <row r="2555">
          <cell r="A2555">
            <v>1.9054000000000001E-2</v>
          </cell>
        </row>
        <row r="2556">
          <cell r="A2556">
            <v>8.0850000000000002E-3</v>
          </cell>
        </row>
        <row r="2557">
          <cell r="A2557">
            <v>1.8973E-2</v>
          </cell>
        </row>
        <row r="2558">
          <cell r="A2558">
            <v>2.3983999999999998E-2</v>
          </cell>
        </row>
        <row r="2559">
          <cell r="A2559">
            <v>1.9616999999999999E-2</v>
          </cell>
        </row>
        <row r="2560">
          <cell r="A2560">
            <v>1.7984E-2</v>
          </cell>
        </row>
        <row r="2561">
          <cell r="A2561">
            <v>2.1590000000000002E-2</v>
          </cell>
        </row>
        <row r="2562">
          <cell r="A2562">
            <v>1.8672999999999999E-2</v>
          </cell>
        </row>
        <row r="2563">
          <cell r="A2563">
            <v>1.3965E-2</v>
          </cell>
        </row>
        <row r="2564">
          <cell r="A2564">
            <v>1.8065000000000001E-2</v>
          </cell>
        </row>
        <row r="2565">
          <cell r="A2565">
            <v>1.9726E-2</v>
          </cell>
        </row>
        <row r="2566">
          <cell r="A2566">
            <v>1.9852999999999999E-2</v>
          </cell>
        </row>
        <row r="2567">
          <cell r="A2567">
            <v>2.1767999999999999E-2</v>
          </cell>
        </row>
        <row r="2568">
          <cell r="A2568">
            <v>1.9369000000000001E-2</v>
          </cell>
        </row>
        <row r="2569">
          <cell r="A2569">
            <v>1.4241999999999999E-2</v>
          </cell>
        </row>
        <row r="2570">
          <cell r="A2570">
            <v>1.5723999999999998E-2</v>
          </cell>
        </row>
        <row r="2571">
          <cell r="A2571">
            <v>1.7309999999999999E-2</v>
          </cell>
        </row>
        <row r="2572">
          <cell r="A2572">
            <v>1.9387000000000001E-2</v>
          </cell>
        </row>
        <row r="2573">
          <cell r="A2573">
            <v>2.0132000000000001E-2</v>
          </cell>
        </row>
        <row r="2574">
          <cell r="A2574">
            <v>2.1118999999999999E-2</v>
          </cell>
        </row>
        <row r="2575">
          <cell r="A2575">
            <v>2.6731000000000001E-2</v>
          </cell>
        </row>
        <row r="2576">
          <cell r="A2576">
            <v>9.9649999999999999E-3</v>
          </cell>
        </row>
        <row r="2577">
          <cell r="A2577">
            <v>1.5639E-2</v>
          </cell>
        </row>
        <row r="2578">
          <cell r="A2578">
            <v>1.7982999999999999E-2</v>
          </cell>
        </row>
        <row r="2579">
          <cell r="A2579">
            <v>2.3143E-2</v>
          </cell>
        </row>
        <row r="2580">
          <cell r="A2580">
            <v>2.5332E-2</v>
          </cell>
        </row>
        <row r="2581">
          <cell r="A2581">
            <v>1.7638999999999998E-2</v>
          </cell>
        </row>
        <row r="2582">
          <cell r="A2582">
            <v>2.3508000000000001E-2</v>
          </cell>
        </row>
        <row r="2583">
          <cell r="A2583">
            <v>2.0454E-2</v>
          </cell>
        </row>
        <row r="2584">
          <cell r="A2584">
            <v>1.3603000000000001E-2</v>
          </cell>
        </row>
        <row r="2585">
          <cell r="A2585">
            <v>1.8849000000000001E-2</v>
          </cell>
        </row>
        <row r="2586">
          <cell r="A2586">
            <v>1.8386E-2</v>
          </cell>
        </row>
        <row r="2587">
          <cell r="A2587">
            <v>1.8579999999999999E-2</v>
          </cell>
        </row>
        <row r="2588">
          <cell r="A2588">
            <v>1.9026000000000001E-2</v>
          </cell>
        </row>
        <row r="2589">
          <cell r="A2589">
            <v>2.7512999999999999E-2</v>
          </cell>
        </row>
        <row r="2590">
          <cell r="A2590">
            <v>1.8020000000000001E-2</v>
          </cell>
        </row>
        <row r="2591">
          <cell r="A2591">
            <v>1.8381999999999999E-2</v>
          </cell>
        </row>
        <row r="2592">
          <cell r="A2592">
            <v>1.9286000000000001E-2</v>
          </cell>
        </row>
        <row r="2593">
          <cell r="A2593">
            <v>2.3175999999999999E-2</v>
          </cell>
        </row>
        <row r="2594">
          <cell r="A2594">
            <v>1.3924000000000001E-2</v>
          </cell>
        </row>
        <row r="2595">
          <cell r="A2595">
            <v>1.8100000000000002E-2</v>
          </cell>
        </row>
        <row r="2596">
          <cell r="A2596">
            <v>2.5885999999999999E-2</v>
          </cell>
        </row>
        <row r="2597">
          <cell r="A2597">
            <v>1.7536E-2</v>
          </cell>
        </row>
        <row r="2598">
          <cell r="A2598">
            <v>1.4401000000000001E-2</v>
          </cell>
        </row>
        <row r="2599">
          <cell r="A2599">
            <v>1.5755000000000002E-2</v>
          </cell>
        </row>
        <row r="2600">
          <cell r="A2600">
            <v>2.2952E-2</v>
          </cell>
        </row>
        <row r="2601">
          <cell r="A2601">
            <v>1.9314000000000001E-2</v>
          </cell>
        </row>
        <row r="2602">
          <cell r="A2602">
            <v>2.0729000000000001E-2</v>
          </cell>
        </row>
        <row r="2603">
          <cell r="A2603">
            <v>2.0077999999999999E-2</v>
          </cell>
        </row>
        <row r="2604">
          <cell r="A2604">
            <v>2.3796999999999999E-2</v>
          </cell>
        </row>
        <row r="2605">
          <cell r="A2605">
            <v>1.4451E-2</v>
          </cell>
        </row>
        <row r="2606">
          <cell r="A2606">
            <v>2.0684999999999999E-2</v>
          </cell>
        </row>
        <row r="2607">
          <cell r="A2607">
            <v>1.8815999999999999E-2</v>
          </cell>
        </row>
        <row r="2608">
          <cell r="A2608">
            <v>2.1662000000000001E-2</v>
          </cell>
        </row>
        <row r="2609">
          <cell r="A2609">
            <v>2.5337999999999999E-2</v>
          </cell>
        </row>
        <row r="2610">
          <cell r="A2610">
            <v>1.3972E-2</v>
          </cell>
        </row>
        <row r="2611">
          <cell r="A2611">
            <v>1.8092E-2</v>
          </cell>
        </row>
        <row r="2612">
          <cell r="A2612">
            <v>1.8924E-2</v>
          </cell>
        </row>
        <row r="2613">
          <cell r="A2613">
            <v>1.3734E-2</v>
          </cell>
        </row>
        <row r="2614">
          <cell r="A2614">
            <v>1.7142000000000001E-2</v>
          </cell>
        </row>
        <row r="2615">
          <cell r="A2615">
            <v>2.0799999999999999E-2</v>
          </cell>
        </row>
        <row r="2616">
          <cell r="A2616">
            <v>2.3976999999999998E-2</v>
          </cell>
        </row>
        <row r="2617">
          <cell r="A2617">
            <v>2.4549999999999999E-2</v>
          </cell>
        </row>
        <row r="2618">
          <cell r="A2618">
            <v>1.4880000000000001E-2</v>
          </cell>
        </row>
        <row r="2619">
          <cell r="A2619">
            <v>1.8325999999999999E-2</v>
          </cell>
        </row>
        <row r="2620">
          <cell r="A2620">
            <v>8.8699999999999994E-3</v>
          </cell>
        </row>
        <row r="2621">
          <cell r="A2621">
            <v>2.6276999999999998E-2</v>
          </cell>
        </row>
        <row r="2622">
          <cell r="A2622">
            <v>1.6064999999999999E-2</v>
          </cell>
        </row>
        <row r="2623">
          <cell r="A2623">
            <v>1.9296000000000001E-2</v>
          </cell>
        </row>
        <row r="2624">
          <cell r="A2624">
            <v>2.4278999999999998E-2</v>
          </cell>
        </row>
        <row r="2625">
          <cell r="A2625">
            <v>2.2335000000000001E-2</v>
          </cell>
        </row>
        <row r="2626">
          <cell r="A2626">
            <v>1.7395000000000001E-2</v>
          </cell>
        </row>
        <row r="2627">
          <cell r="A2627">
            <v>1.9533999999999999E-2</v>
          </cell>
        </row>
        <row r="2628">
          <cell r="A2628">
            <v>2.3449000000000001E-2</v>
          </cell>
        </row>
        <row r="2629">
          <cell r="A2629">
            <v>2.5232999999999998E-2</v>
          </cell>
        </row>
        <row r="2630">
          <cell r="A2630">
            <v>2.6357999999999999E-2</v>
          </cell>
        </row>
        <row r="2631">
          <cell r="A2631">
            <v>1.7545999999999999E-2</v>
          </cell>
        </row>
        <row r="2632">
          <cell r="A2632">
            <v>1.8068000000000001E-2</v>
          </cell>
        </row>
        <row r="2633">
          <cell r="A2633">
            <v>1.9546000000000001E-2</v>
          </cell>
        </row>
        <row r="2634">
          <cell r="A2634">
            <v>2.2055000000000002E-2</v>
          </cell>
        </row>
        <row r="2635">
          <cell r="A2635">
            <v>1.9529000000000001E-2</v>
          </cell>
        </row>
        <row r="2636">
          <cell r="A2636">
            <v>2.3886999999999999E-2</v>
          </cell>
        </row>
        <row r="2637">
          <cell r="A2637">
            <v>1.8932000000000001E-2</v>
          </cell>
        </row>
        <row r="2638">
          <cell r="A2638">
            <v>2.1933999999999999E-2</v>
          </cell>
        </row>
        <row r="2639">
          <cell r="A2639">
            <v>2.3012000000000001E-2</v>
          </cell>
        </row>
        <row r="2640">
          <cell r="A2640">
            <v>2.4001000000000001E-2</v>
          </cell>
        </row>
        <row r="2641">
          <cell r="A2641">
            <v>2.4412E-2</v>
          </cell>
        </row>
        <row r="2642">
          <cell r="A2642">
            <v>2.5531000000000002E-2</v>
          </cell>
        </row>
        <row r="2643">
          <cell r="A2643">
            <v>1.1924000000000001E-2</v>
          </cell>
        </row>
        <row r="2644">
          <cell r="A2644">
            <v>2.2013000000000001E-2</v>
          </cell>
        </row>
        <row r="2645">
          <cell r="A2645">
            <v>2.1323999999999999E-2</v>
          </cell>
        </row>
        <row r="2646">
          <cell r="A2646">
            <v>1.7197E-2</v>
          </cell>
        </row>
        <row r="2647">
          <cell r="A2647">
            <v>1.5337999999999999E-2</v>
          </cell>
        </row>
        <row r="2648">
          <cell r="A2648">
            <v>1.9012000000000001E-2</v>
          </cell>
        </row>
        <row r="2649">
          <cell r="A2649">
            <v>1.9724999999999999E-2</v>
          </cell>
        </row>
        <row r="2650">
          <cell r="A2650">
            <v>1.9852000000000002E-2</v>
          </cell>
        </row>
        <row r="2651">
          <cell r="A2651">
            <v>2.2450000000000001E-2</v>
          </cell>
        </row>
        <row r="2652">
          <cell r="A2652">
            <v>1.2768E-2</v>
          </cell>
        </row>
        <row r="2653">
          <cell r="A2653">
            <v>1.8159999999999999E-2</v>
          </cell>
        </row>
        <row r="2654">
          <cell r="A2654">
            <v>2.2245000000000001E-2</v>
          </cell>
        </row>
        <row r="2655">
          <cell r="A2655">
            <v>1.7595E-2</v>
          </cell>
        </row>
        <row r="2656">
          <cell r="A2656">
            <v>1.1672999999999999E-2</v>
          </cell>
        </row>
        <row r="2657">
          <cell r="A2657">
            <v>1.6257000000000001E-2</v>
          </cell>
        </row>
        <row r="2658">
          <cell r="A2658">
            <v>1.4357999999999999E-2</v>
          </cell>
        </row>
        <row r="2659">
          <cell r="A2659">
            <v>1.2163E-2</v>
          </cell>
        </row>
        <row r="2660">
          <cell r="A2660">
            <v>2.3798E-2</v>
          </cell>
        </row>
        <row r="2661">
          <cell r="A2661">
            <v>1.3015000000000001E-2</v>
          </cell>
        </row>
        <row r="2662">
          <cell r="A2662">
            <v>1.8290000000000001E-2</v>
          </cell>
        </row>
        <row r="2663">
          <cell r="A2663">
            <v>1.3350000000000001E-2</v>
          </cell>
        </row>
        <row r="2664">
          <cell r="A2664">
            <v>2.2542E-2</v>
          </cell>
        </row>
        <row r="2665">
          <cell r="A2665">
            <v>2.3147999999999998E-2</v>
          </cell>
        </row>
        <row r="2666">
          <cell r="A2666">
            <v>2.4316999999999998E-2</v>
          </cell>
        </row>
        <row r="2667">
          <cell r="A2667">
            <v>1.1428000000000001E-2</v>
          </cell>
        </row>
        <row r="2668">
          <cell r="A2668">
            <v>2.4143000000000001E-2</v>
          </cell>
        </row>
        <row r="2669">
          <cell r="A2669">
            <v>2.4856E-2</v>
          </cell>
        </row>
        <row r="2670">
          <cell r="A2670">
            <v>1.7087999999999999E-2</v>
          </cell>
        </row>
        <row r="2671">
          <cell r="A2671">
            <v>1.6102000000000002E-2</v>
          </cell>
        </row>
        <row r="2672">
          <cell r="A2672">
            <v>1.7652000000000001E-2</v>
          </cell>
        </row>
        <row r="2673">
          <cell r="A2673">
            <v>1.8495999999999999E-2</v>
          </cell>
        </row>
        <row r="2674">
          <cell r="A2674">
            <v>1.9390000000000001E-2</v>
          </cell>
        </row>
        <row r="2675">
          <cell r="A2675">
            <v>1.8384999999999999E-2</v>
          </cell>
        </row>
        <row r="2676">
          <cell r="A2676">
            <v>1.6129000000000001E-2</v>
          </cell>
        </row>
        <row r="2677">
          <cell r="A2677">
            <v>1.7131E-2</v>
          </cell>
        </row>
        <row r="2678">
          <cell r="A2678">
            <v>2.3574999999999999E-2</v>
          </cell>
        </row>
        <row r="2679">
          <cell r="A2679">
            <v>1.8707000000000001E-2</v>
          </cell>
        </row>
        <row r="2680">
          <cell r="A2680">
            <v>1.8874999999999999E-2</v>
          </cell>
        </row>
        <row r="2681">
          <cell r="A2681">
            <v>2.6422000000000001E-2</v>
          </cell>
        </row>
        <row r="2682">
          <cell r="A2682">
            <v>1.2429000000000001E-2</v>
          </cell>
        </row>
        <row r="2683">
          <cell r="A2683">
            <v>1.3509E-2</v>
          </cell>
        </row>
        <row r="2684">
          <cell r="A2684">
            <v>1.7134E-2</v>
          </cell>
        </row>
        <row r="2685">
          <cell r="A2685">
            <v>1.9257E-2</v>
          </cell>
        </row>
        <row r="2686">
          <cell r="A2686">
            <v>1.9519999999999999E-2</v>
          </cell>
        </row>
        <row r="2687">
          <cell r="A2687">
            <v>1.8467999999999998E-2</v>
          </cell>
        </row>
        <row r="2688">
          <cell r="A2688">
            <v>2.1732000000000001E-2</v>
          </cell>
        </row>
        <row r="2689">
          <cell r="A2689">
            <v>2.2697999999999999E-2</v>
          </cell>
        </row>
        <row r="2690">
          <cell r="A2690">
            <v>8.6350000000000003E-3</v>
          </cell>
        </row>
        <row r="2691">
          <cell r="A2691">
            <v>2.2717999999999999E-2</v>
          </cell>
        </row>
        <row r="2692">
          <cell r="A2692">
            <v>2.325E-2</v>
          </cell>
        </row>
        <row r="2693">
          <cell r="A2693">
            <v>1.2942E-2</v>
          </cell>
        </row>
        <row r="2694">
          <cell r="A2694">
            <v>2.2488000000000001E-2</v>
          </cell>
        </row>
        <row r="2695">
          <cell r="A2695">
            <v>2.8004000000000001E-2</v>
          </cell>
        </row>
        <row r="2696">
          <cell r="A2696">
            <v>1.4328E-2</v>
          </cell>
        </row>
        <row r="2697">
          <cell r="A2697">
            <v>1.4663000000000001E-2</v>
          </cell>
        </row>
        <row r="2698">
          <cell r="A2698">
            <v>2.1873E-2</v>
          </cell>
        </row>
        <row r="2699">
          <cell r="A2699">
            <v>1.0829999999999999E-2</v>
          </cell>
        </row>
        <row r="2700">
          <cell r="A2700">
            <v>1.8921E-2</v>
          </cell>
        </row>
        <row r="2701">
          <cell r="A2701">
            <v>2.2936999999999999E-2</v>
          </cell>
        </row>
        <row r="2702">
          <cell r="A2702">
            <v>1.6839E-2</v>
          </cell>
        </row>
        <row r="2703">
          <cell r="A2703">
            <v>2.2002000000000001E-2</v>
          </cell>
        </row>
        <row r="2704">
          <cell r="A2704">
            <v>1.7051E-2</v>
          </cell>
        </row>
        <row r="2705">
          <cell r="A2705">
            <v>1.806E-2</v>
          </cell>
        </row>
        <row r="2706">
          <cell r="A2706">
            <v>2.3574999999999999E-2</v>
          </cell>
        </row>
        <row r="2707">
          <cell r="A2707">
            <v>2.103E-2</v>
          </cell>
        </row>
        <row r="2708">
          <cell r="A2708">
            <v>2.6179000000000001E-2</v>
          </cell>
        </row>
        <row r="2709">
          <cell r="A2709">
            <v>2.2099000000000001E-2</v>
          </cell>
        </row>
        <row r="2710">
          <cell r="A2710">
            <v>1.5962E-2</v>
          </cell>
        </row>
        <row r="2711">
          <cell r="A2711">
            <v>1.8516000000000001E-2</v>
          </cell>
        </row>
        <row r="2712">
          <cell r="A2712">
            <v>1.9016000000000002E-2</v>
          </cell>
        </row>
        <row r="2713">
          <cell r="A2713">
            <v>2.2744E-2</v>
          </cell>
        </row>
        <row r="2714">
          <cell r="A2714">
            <v>2.4931999999999999E-2</v>
          </cell>
        </row>
        <row r="2715">
          <cell r="A2715">
            <v>1.6101000000000001E-2</v>
          </cell>
        </row>
        <row r="2716">
          <cell r="A2716">
            <v>1.8384000000000001E-2</v>
          </cell>
        </row>
        <row r="2717">
          <cell r="A2717">
            <v>1.8498000000000001E-2</v>
          </cell>
        </row>
        <row r="2718">
          <cell r="A2718">
            <v>1.3254E-2</v>
          </cell>
        </row>
        <row r="2719">
          <cell r="A2719">
            <v>1.2212000000000001E-2</v>
          </cell>
        </row>
        <row r="2720">
          <cell r="A2720">
            <v>1.8127999999999998E-2</v>
          </cell>
        </row>
        <row r="2721">
          <cell r="A2721">
            <v>1.1619000000000001E-2</v>
          </cell>
        </row>
        <row r="2722">
          <cell r="A2722">
            <v>1.4795000000000001E-2</v>
          </cell>
        </row>
        <row r="2723">
          <cell r="A2723">
            <v>1.8540000000000001E-2</v>
          </cell>
        </row>
        <row r="2724">
          <cell r="A2724">
            <v>2.0992E-2</v>
          </cell>
        </row>
        <row r="2725">
          <cell r="A2725">
            <v>1.7408E-2</v>
          </cell>
        </row>
        <row r="2726">
          <cell r="A2726">
            <v>1.8609000000000001E-2</v>
          </cell>
        </row>
        <row r="2727">
          <cell r="A2727">
            <v>2.2114999999999999E-2</v>
          </cell>
        </row>
        <row r="2728">
          <cell r="A2728">
            <v>1.8610999999999999E-2</v>
          </cell>
        </row>
        <row r="2729">
          <cell r="A2729">
            <v>2.1114000000000001E-2</v>
          </cell>
        </row>
        <row r="2730">
          <cell r="A2730">
            <v>1.7624000000000001E-2</v>
          </cell>
        </row>
        <row r="2731">
          <cell r="A2731">
            <v>2.2703999999999998E-2</v>
          </cell>
        </row>
        <row r="2732">
          <cell r="A2732">
            <v>2.4337000000000001E-2</v>
          </cell>
        </row>
        <row r="2733">
          <cell r="A2733">
            <v>2.0802999999999999E-2</v>
          </cell>
        </row>
        <row r="2734">
          <cell r="A2734">
            <v>2.0355999999999999E-2</v>
          </cell>
        </row>
        <row r="2735">
          <cell r="A2735">
            <v>1.4069999999999999E-2</v>
          </cell>
        </row>
        <row r="2736">
          <cell r="A2736">
            <v>2.2043E-2</v>
          </cell>
        </row>
        <row r="2737">
          <cell r="A2737">
            <v>2.7210000000000002E-2</v>
          </cell>
        </row>
        <row r="2738">
          <cell r="A2738">
            <v>1.6832E-2</v>
          </cell>
        </row>
        <row r="2739">
          <cell r="A2739">
            <v>1.8956000000000001E-2</v>
          </cell>
        </row>
        <row r="2740">
          <cell r="A2740">
            <v>1.9737000000000001E-2</v>
          </cell>
        </row>
        <row r="2741">
          <cell r="A2741">
            <v>2.1080999999999999E-2</v>
          </cell>
        </row>
        <row r="2742">
          <cell r="A2742">
            <v>2.1829000000000001E-2</v>
          </cell>
        </row>
        <row r="2743">
          <cell r="A2743">
            <v>1.2710000000000001E-2</v>
          </cell>
        </row>
        <row r="2744">
          <cell r="A2744">
            <v>2.0517000000000001E-2</v>
          </cell>
        </row>
        <row r="2745">
          <cell r="A2745">
            <v>2.1655000000000001E-2</v>
          </cell>
        </row>
        <row r="2746">
          <cell r="A2746">
            <v>1.5282E-2</v>
          </cell>
        </row>
        <row r="2747">
          <cell r="A2747">
            <v>1.8193000000000001E-2</v>
          </cell>
        </row>
        <row r="2748">
          <cell r="A2748">
            <v>1.5492000000000001E-2</v>
          </cell>
        </row>
        <row r="2749">
          <cell r="A2749">
            <v>1.7330999999999999E-2</v>
          </cell>
        </row>
        <row r="2750">
          <cell r="A2750">
            <v>1.8523999999999999E-2</v>
          </cell>
        </row>
        <row r="2751">
          <cell r="A2751">
            <v>1.8678E-2</v>
          </cell>
        </row>
        <row r="2752">
          <cell r="A2752">
            <v>1.8102E-2</v>
          </cell>
        </row>
        <row r="2753">
          <cell r="A2753">
            <v>1.9702000000000001E-2</v>
          </cell>
        </row>
        <row r="2754">
          <cell r="A2754">
            <v>2.3609000000000002E-2</v>
          </cell>
        </row>
        <row r="2755">
          <cell r="A2755">
            <v>1.6383000000000002E-2</v>
          </cell>
        </row>
        <row r="2756">
          <cell r="A2756">
            <v>1.9314000000000001E-2</v>
          </cell>
        </row>
        <row r="2757">
          <cell r="A2757">
            <v>1.6362999999999999E-2</v>
          </cell>
        </row>
        <row r="2758">
          <cell r="A2758">
            <v>1.9727000000000001E-2</v>
          </cell>
        </row>
        <row r="2759">
          <cell r="A2759">
            <v>1.9900999999999999E-2</v>
          </cell>
        </row>
        <row r="2760">
          <cell r="A2760">
            <v>2.0694000000000001E-2</v>
          </cell>
        </row>
        <row r="2761">
          <cell r="A2761">
            <v>1.7892000000000002E-2</v>
          </cell>
        </row>
        <row r="2762">
          <cell r="A2762">
            <v>1.6206000000000002E-2</v>
          </cell>
        </row>
        <row r="2763">
          <cell r="A2763">
            <v>1.6806000000000001E-2</v>
          </cell>
        </row>
        <row r="2764">
          <cell r="A2764">
            <v>2.0704E-2</v>
          </cell>
        </row>
        <row r="2765">
          <cell r="A2765">
            <v>2.6424E-2</v>
          </cell>
        </row>
        <row r="2766">
          <cell r="A2766">
            <v>2.3994000000000001E-2</v>
          </cell>
        </row>
        <row r="2767">
          <cell r="A2767">
            <v>1.4342000000000001E-2</v>
          </cell>
        </row>
        <row r="2768">
          <cell r="A2768">
            <v>2.2585999999999998E-2</v>
          </cell>
        </row>
        <row r="2769">
          <cell r="A2769">
            <v>2.2964999999999999E-2</v>
          </cell>
        </row>
        <row r="2770">
          <cell r="A2770">
            <v>2.4827999999999999E-2</v>
          </cell>
        </row>
        <row r="2771">
          <cell r="A2771">
            <v>2.0237000000000002E-2</v>
          </cell>
        </row>
        <row r="2772">
          <cell r="A2772">
            <v>1.8770999999999999E-2</v>
          </cell>
        </row>
        <row r="2773">
          <cell r="A2773">
            <v>2.0018000000000001E-2</v>
          </cell>
        </row>
        <row r="2774">
          <cell r="A2774">
            <v>2.1462999999999999E-2</v>
          </cell>
        </row>
        <row r="2775">
          <cell r="A2775">
            <v>1.9463000000000001E-2</v>
          </cell>
        </row>
        <row r="2776">
          <cell r="A2776">
            <v>2.0861999999999999E-2</v>
          </cell>
        </row>
        <row r="2777">
          <cell r="A2777">
            <v>2.0378E-2</v>
          </cell>
        </row>
        <row r="2778">
          <cell r="A2778">
            <v>2.4122000000000001E-2</v>
          </cell>
        </row>
        <row r="2779">
          <cell r="A2779">
            <v>1.2944000000000001E-2</v>
          </cell>
        </row>
        <row r="2780">
          <cell r="A2780">
            <v>2.3460000000000002E-2</v>
          </cell>
        </row>
        <row r="2781">
          <cell r="A2781">
            <v>2.2761E-2</v>
          </cell>
        </row>
        <row r="2782">
          <cell r="A2782">
            <v>1.3474E-2</v>
          </cell>
        </row>
        <row r="2783">
          <cell r="A2783">
            <v>1.8038999999999999E-2</v>
          </cell>
        </row>
        <row r="2784">
          <cell r="A2784">
            <v>2.2818999999999999E-2</v>
          </cell>
        </row>
        <row r="2785">
          <cell r="A2785">
            <v>2.564E-2</v>
          </cell>
        </row>
        <row r="2786">
          <cell r="A2786">
            <v>1.7389000000000002E-2</v>
          </cell>
        </row>
        <row r="2787">
          <cell r="A2787">
            <v>1.8467999999999998E-2</v>
          </cell>
        </row>
        <row r="2788">
          <cell r="A2788">
            <v>1.6587000000000001E-2</v>
          </cell>
        </row>
        <row r="2789">
          <cell r="A2789">
            <v>1.8369E-2</v>
          </cell>
        </row>
        <row r="2790">
          <cell r="A2790">
            <v>1.8627999999999999E-2</v>
          </cell>
        </row>
        <row r="2791">
          <cell r="A2791">
            <v>1.3493E-2</v>
          </cell>
        </row>
        <row r="2792">
          <cell r="A2792">
            <v>1.7114000000000001E-2</v>
          </cell>
        </row>
        <row r="2793">
          <cell r="A2793">
            <v>1.9451E-2</v>
          </cell>
        </row>
        <row r="2794">
          <cell r="A2794">
            <v>2.0549000000000001E-2</v>
          </cell>
        </row>
        <row r="2795">
          <cell r="A2795">
            <v>1.3465E-2</v>
          </cell>
        </row>
        <row r="2796">
          <cell r="A2796">
            <v>1.6008000000000001E-2</v>
          </cell>
        </row>
        <row r="2797">
          <cell r="A2797">
            <v>1.3816999999999999E-2</v>
          </cell>
        </row>
        <row r="2798">
          <cell r="A2798">
            <v>1.8797999999999999E-2</v>
          </cell>
        </row>
        <row r="2799">
          <cell r="A2799">
            <v>1.7382999999999999E-2</v>
          </cell>
        </row>
        <row r="2800">
          <cell r="A2800">
            <v>1.6622999999999999E-2</v>
          </cell>
        </row>
        <row r="2801">
          <cell r="A2801">
            <v>1.7654E-2</v>
          </cell>
        </row>
        <row r="2802">
          <cell r="A2802">
            <v>1.2883E-2</v>
          </cell>
        </row>
        <row r="2803">
          <cell r="A2803">
            <v>1.9248000000000001E-2</v>
          </cell>
        </row>
        <row r="2804">
          <cell r="A2804">
            <v>1.9744999999999999E-2</v>
          </cell>
        </row>
        <row r="2805">
          <cell r="A2805">
            <v>1.7537000000000001E-2</v>
          </cell>
        </row>
        <row r="2806">
          <cell r="A2806">
            <v>1.8551999999999999E-2</v>
          </cell>
        </row>
        <row r="2807">
          <cell r="A2807">
            <v>2.1256000000000001E-2</v>
          </cell>
        </row>
        <row r="2808">
          <cell r="A2808">
            <v>2.1533E-2</v>
          </cell>
        </row>
        <row r="2809">
          <cell r="A2809">
            <v>2.3689999999999999E-2</v>
          </cell>
        </row>
        <row r="2810">
          <cell r="A2810">
            <v>2.4849E-2</v>
          </cell>
        </row>
        <row r="2811">
          <cell r="A2811">
            <v>1.592E-2</v>
          </cell>
        </row>
        <row r="2812">
          <cell r="A2812">
            <v>1.8929999999999999E-2</v>
          </cell>
        </row>
        <row r="2813">
          <cell r="A2813">
            <v>2.1055000000000001E-2</v>
          </cell>
        </row>
        <row r="2814">
          <cell r="A2814">
            <v>1.2605E-2</v>
          </cell>
        </row>
        <row r="2815">
          <cell r="A2815">
            <v>1.9202E-2</v>
          </cell>
        </row>
        <row r="2816">
          <cell r="A2816">
            <v>2.5239000000000001E-2</v>
          </cell>
        </row>
        <row r="2817">
          <cell r="A2817">
            <v>1.1809E-2</v>
          </cell>
        </row>
        <row r="2818">
          <cell r="A2818">
            <v>1.7788999999999999E-2</v>
          </cell>
        </row>
        <row r="2819">
          <cell r="A2819">
            <v>1.7999000000000001E-2</v>
          </cell>
        </row>
        <row r="2820">
          <cell r="A2820">
            <v>1.7305000000000001E-2</v>
          </cell>
        </row>
        <row r="2821">
          <cell r="A2821">
            <v>2.0614E-2</v>
          </cell>
        </row>
        <row r="2822">
          <cell r="A2822">
            <v>2.1852E-2</v>
          </cell>
        </row>
        <row r="2823">
          <cell r="A2823">
            <v>1.9186000000000002E-2</v>
          </cell>
        </row>
        <row r="2824">
          <cell r="A2824">
            <v>1.9779999999999999E-2</v>
          </cell>
        </row>
        <row r="2825">
          <cell r="A2825">
            <v>1.8638999999999999E-2</v>
          </cell>
        </row>
        <row r="2826">
          <cell r="A2826">
            <v>1.7357000000000001E-2</v>
          </cell>
        </row>
        <row r="2827">
          <cell r="A2827">
            <v>1.8312999999999999E-2</v>
          </cell>
        </row>
        <row r="2828">
          <cell r="A2828">
            <v>1.8369E-2</v>
          </cell>
        </row>
        <row r="2829">
          <cell r="A2829">
            <v>1.9924000000000001E-2</v>
          </cell>
        </row>
        <row r="2830">
          <cell r="A2830">
            <v>2.2481999999999999E-2</v>
          </cell>
        </row>
        <row r="2831">
          <cell r="A2831">
            <v>2.3480000000000001E-2</v>
          </cell>
        </row>
        <row r="2832">
          <cell r="A2832">
            <v>1.375E-2</v>
          </cell>
        </row>
        <row r="2833">
          <cell r="A2833">
            <v>2.1174999999999999E-2</v>
          </cell>
        </row>
        <row r="2834">
          <cell r="A2834">
            <v>1.3153E-2</v>
          </cell>
        </row>
        <row r="2835">
          <cell r="A2835">
            <v>2.3422999999999999E-2</v>
          </cell>
        </row>
        <row r="2836">
          <cell r="A2836">
            <v>1.5953999999999999E-2</v>
          </cell>
        </row>
        <row r="2837">
          <cell r="A2837">
            <v>1.8419000000000001E-2</v>
          </cell>
        </row>
        <row r="2838">
          <cell r="A2838">
            <v>1.9262000000000001E-2</v>
          </cell>
        </row>
        <row r="2839">
          <cell r="A2839">
            <v>1.2326999999999999E-2</v>
          </cell>
        </row>
        <row r="2840">
          <cell r="A2840">
            <v>1.821E-2</v>
          </cell>
        </row>
        <row r="2841">
          <cell r="A2841">
            <v>1.5122E-2</v>
          </cell>
        </row>
        <row r="2842">
          <cell r="A2842">
            <v>2.0736999999999998E-2</v>
          </cell>
        </row>
        <row r="2843">
          <cell r="A2843">
            <v>1.8565999999999999E-2</v>
          </cell>
        </row>
        <row r="2844">
          <cell r="A2844">
            <v>1.7444000000000001E-2</v>
          </cell>
        </row>
        <row r="2845">
          <cell r="A2845">
            <v>1.3386E-2</v>
          </cell>
        </row>
        <row r="2846">
          <cell r="A2846">
            <v>1.7316000000000002E-2</v>
          </cell>
        </row>
        <row r="2847">
          <cell r="A2847">
            <v>2.0483999999999999E-2</v>
          </cell>
        </row>
        <row r="2848">
          <cell r="A2848">
            <v>2.1233999999999999E-2</v>
          </cell>
        </row>
        <row r="2849">
          <cell r="A2849">
            <v>1.5379E-2</v>
          </cell>
        </row>
        <row r="2850">
          <cell r="A2850">
            <v>1.8457000000000001E-2</v>
          </cell>
        </row>
        <row r="2851">
          <cell r="A2851">
            <v>2.2841E-2</v>
          </cell>
        </row>
        <row r="2852">
          <cell r="A2852">
            <v>2.2013999999999999E-2</v>
          </cell>
        </row>
        <row r="2853">
          <cell r="A2853">
            <v>2.3663E-2</v>
          </cell>
        </row>
        <row r="2854">
          <cell r="A2854">
            <v>1.8537999999999999E-2</v>
          </cell>
        </row>
        <row r="2855">
          <cell r="A2855">
            <v>2.0295000000000001E-2</v>
          </cell>
        </row>
        <row r="2856">
          <cell r="A2856">
            <v>1.9862000000000001E-2</v>
          </cell>
        </row>
        <row r="2857">
          <cell r="A2857">
            <v>2.0604999999999998E-2</v>
          </cell>
        </row>
        <row r="2858">
          <cell r="A2858">
            <v>2.3213000000000001E-2</v>
          </cell>
        </row>
        <row r="2859">
          <cell r="A2859">
            <v>1.7520999999999998E-2</v>
          </cell>
        </row>
        <row r="2860">
          <cell r="A2860">
            <v>1.7603000000000001E-2</v>
          </cell>
        </row>
        <row r="2861">
          <cell r="A2861">
            <v>2.1069999999999998E-2</v>
          </cell>
        </row>
        <row r="2862">
          <cell r="A2862">
            <v>2.1555000000000001E-2</v>
          </cell>
        </row>
        <row r="2863">
          <cell r="A2863">
            <v>2.1839999999999998E-2</v>
          </cell>
        </row>
        <row r="2864">
          <cell r="A2864">
            <v>2.1916999999999999E-2</v>
          </cell>
        </row>
        <row r="2865">
          <cell r="A2865">
            <v>2.4972000000000001E-2</v>
          </cell>
        </row>
        <row r="2866">
          <cell r="A2866">
            <v>1.1816999999999999E-2</v>
          </cell>
        </row>
        <row r="2867">
          <cell r="A2867">
            <v>2.0878000000000001E-2</v>
          </cell>
        </row>
        <row r="2868">
          <cell r="A2868">
            <v>1.7774999999999999E-2</v>
          </cell>
        </row>
        <row r="2869">
          <cell r="A2869">
            <v>1.5675999999999999E-2</v>
          </cell>
        </row>
        <row r="2870">
          <cell r="A2870">
            <v>2.3272000000000001E-2</v>
          </cell>
        </row>
        <row r="2871">
          <cell r="A2871">
            <v>2.1356E-2</v>
          </cell>
        </row>
        <row r="2872">
          <cell r="A2872">
            <v>2.1804E-2</v>
          </cell>
        </row>
        <row r="2873">
          <cell r="A2873">
            <v>2.2488999999999999E-2</v>
          </cell>
        </row>
        <row r="2874">
          <cell r="A2874">
            <v>2.0612999999999999E-2</v>
          </cell>
        </row>
        <row r="2875">
          <cell r="A2875">
            <v>1.1641E-2</v>
          </cell>
        </row>
        <row r="2876">
          <cell r="A2876">
            <v>1.8293E-2</v>
          </cell>
        </row>
        <row r="2877">
          <cell r="A2877">
            <v>1.0952E-2</v>
          </cell>
        </row>
        <row r="2878">
          <cell r="A2878">
            <v>1.7999999999999999E-2</v>
          </cell>
        </row>
        <row r="2879">
          <cell r="A2879">
            <v>1.985E-2</v>
          </cell>
        </row>
        <row r="2880">
          <cell r="A2880">
            <v>1.7507999999999999E-2</v>
          </cell>
        </row>
        <row r="2881">
          <cell r="A2881">
            <v>2.0886999999999999E-2</v>
          </cell>
        </row>
        <row r="2882">
          <cell r="A2882">
            <v>1.6796999999999999E-2</v>
          </cell>
        </row>
        <row r="2883">
          <cell r="A2883">
            <v>1.8863999999999999E-2</v>
          </cell>
        </row>
        <row r="2884">
          <cell r="A2884">
            <v>2.1179E-2</v>
          </cell>
        </row>
        <row r="2885">
          <cell r="A2885">
            <v>1.7697999999999998E-2</v>
          </cell>
        </row>
        <row r="2886">
          <cell r="A2886">
            <v>2.5080999999999999E-2</v>
          </cell>
        </row>
        <row r="2887">
          <cell r="A2887">
            <v>1.8120000000000001E-2</v>
          </cell>
        </row>
        <row r="2888">
          <cell r="A2888">
            <v>2.0875999999999999E-2</v>
          </cell>
        </row>
        <row r="2889">
          <cell r="A2889">
            <v>1.6877E-2</v>
          </cell>
        </row>
        <row r="2890">
          <cell r="A2890">
            <v>2.2200999999999999E-2</v>
          </cell>
        </row>
        <row r="2891">
          <cell r="A2891">
            <v>2.5010999999999999E-2</v>
          </cell>
        </row>
        <row r="2892">
          <cell r="A2892">
            <v>1.9611E-2</v>
          </cell>
        </row>
        <row r="2893">
          <cell r="A2893">
            <v>1.6310000000000002E-2</v>
          </cell>
        </row>
        <row r="2894">
          <cell r="A2894">
            <v>1.8997E-2</v>
          </cell>
        </row>
        <row r="2895">
          <cell r="A2895">
            <v>1.4565E-2</v>
          </cell>
        </row>
        <row r="2896">
          <cell r="A2896">
            <v>1.6827999999999999E-2</v>
          </cell>
        </row>
        <row r="2897">
          <cell r="A2897">
            <v>1.6871000000000001E-2</v>
          </cell>
        </row>
        <row r="2898">
          <cell r="A2898">
            <v>1.8844E-2</v>
          </cell>
        </row>
        <row r="2899">
          <cell r="A2899">
            <v>1.6018000000000001E-2</v>
          </cell>
        </row>
        <row r="2900">
          <cell r="A2900">
            <v>2.0832E-2</v>
          </cell>
        </row>
        <row r="2901">
          <cell r="A2901">
            <v>1.7489999999999999E-2</v>
          </cell>
        </row>
        <row r="2902">
          <cell r="A2902">
            <v>2.1486000000000002E-2</v>
          </cell>
        </row>
        <row r="2903">
          <cell r="A2903">
            <v>1.7655000000000001E-2</v>
          </cell>
        </row>
        <row r="2904">
          <cell r="A2904">
            <v>1.3354E-2</v>
          </cell>
        </row>
        <row r="2905">
          <cell r="A2905">
            <v>2.4201E-2</v>
          </cell>
        </row>
        <row r="2906">
          <cell r="A2906">
            <v>1.7538999999999999E-2</v>
          </cell>
        </row>
        <row r="2907">
          <cell r="A2907">
            <v>1.3558000000000001E-2</v>
          </cell>
        </row>
        <row r="2908">
          <cell r="A2908">
            <v>2.3238999999999999E-2</v>
          </cell>
        </row>
        <row r="2909">
          <cell r="A2909">
            <v>1.4817E-2</v>
          </cell>
        </row>
        <row r="2910">
          <cell r="A2910">
            <v>1.9026000000000001E-2</v>
          </cell>
        </row>
        <row r="2911">
          <cell r="A2911">
            <v>2.0336E-2</v>
          </cell>
        </row>
        <row r="2912">
          <cell r="A2912">
            <v>1.2305999999999999E-2</v>
          </cell>
        </row>
        <row r="2913">
          <cell r="A2913">
            <v>1.423E-2</v>
          </cell>
        </row>
        <row r="2914">
          <cell r="A2914">
            <v>2.4346E-2</v>
          </cell>
        </row>
        <row r="2915">
          <cell r="A2915">
            <v>1.8057E-2</v>
          </cell>
        </row>
        <row r="2916">
          <cell r="A2916">
            <v>1.7349E-2</v>
          </cell>
        </row>
        <row r="2917">
          <cell r="A2917">
            <v>1.7342E-2</v>
          </cell>
        </row>
        <row r="2918">
          <cell r="A2918">
            <v>1.7746999999999999E-2</v>
          </cell>
        </row>
        <row r="2919">
          <cell r="A2919">
            <v>1.7947000000000001E-2</v>
          </cell>
        </row>
        <row r="2920">
          <cell r="A2920">
            <v>1.7866E-2</v>
          </cell>
        </row>
        <row r="2921">
          <cell r="A2921">
            <v>1.8799E-2</v>
          </cell>
        </row>
        <row r="2922">
          <cell r="A2922">
            <v>1.9373999999999999E-2</v>
          </cell>
        </row>
        <row r="2923">
          <cell r="A2923">
            <v>1.8346999999999999E-2</v>
          </cell>
        </row>
        <row r="2924">
          <cell r="A2924">
            <v>2.2542E-2</v>
          </cell>
        </row>
        <row r="2925">
          <cell r="A2925">
            <v>1.7224E-2</v>
          </cell>
        </row>
        <row r="2926">
          <cell r="A2926">
            <v>1.7203E-2</v>
          </cell>
        </row>
        <row r="2927">
          <cell r="A2927">
            <v>2.1184999999999999E-2</v>
          </cell>
        </row>
        <row r="2928">
          <cell r="A2928">
            <v>1.5900000000000001E-2</v>
          </cell>
        </row>
        <row r="2929">
          <cell r="A2929">
            <v>1.9657999999999998E-2</v>
          </cell>
        </row>
        <row r="2930">
          <cell r="A2930">
            <v>1.9456000000000001E-2</v>
          </cell>
        </row>
        <row r="2931">
          <cell r="A2931">
            <v>1.9834000000000001E-2</v>
          </cell>
        </row>
        <row r="2932">
          <cell r="A2932">
            <v>2.1669000000000001E-2</v>
          </cell>
        </row>
        <row r="2933">
          <cell r="A2933">
            <v>2.01E-2</v>
          </cell>
        </row>
        <row r="2934">
          <cell r="A2934">
            <v>2.2303E-2</v>
          </cell>
        </row>
        <row r="2935">
          <cell r="A2935">
            <v>1.3849999999999999E-2</v>
          </cell>
        </row>
        <row r="2936">
          <cell r="A2936">
            <v>2.0281E-2</v>
          </cell>
        </row>
        <row r="2937">
          <cell r="A2937">
            <v>1.6652E-2</v>
          </cell>
        </row>
        <row r="2938">
          <cell r="A2938">
            <v>1.8397E-2</v>
          </cell>
        </row>
        <row r="2939">
          <cell r="A2939">
            <v>2.0801E-2</v>
          </cell>
        </row>
        <row r="2940">
          <cell r="A2940">
            <v>2.4566999999999999E-2</v>
          </cell>
        </row>
        <row r="2941">
          <cell r="A2941">
            <v>1.4733E-2</v>
          </cell>
        </row>
        <row r="2942">
          <cell r="A2942">
            <v>1.2664999999999999E-2</v>
          </cell>
        </row>
        <row r="2943">
          <cell r="A2943">
            <v>1.6413000000000001E-2</v>
          </cell>
        </row>
        <row r="2944">
          <cell r="A2944">
            <v>1.7783E-2</v>
          </cell>
        </row>
        <row r="2945">
          <cell r="A2945">
            <v>1.3424E-2</v>
          </cell>
        </row>
        <row r="2946">
          <cell r="A2946">
            <v>1.5866999999999999E-2</v>
          </cell>
        </row>
        <row r="2947">
          <cell r="A2947">
            <v>1.8369E-2</v>
          </cell>
        </row>
        <row r="2948">
          <cell r="A2948">
            <v>2.1699E-2</v>
          </cell>
        </row>
        <row r="2949">
          <cell r="A2949">
            <v>1.4888E-2</v>
          </cell>
        </row>
        <row r="2950">
          <cell r="A2950">
            <v>2.1669999999999998E-2</v>
          </cell>
        </row>
        <row r="2951">
          <cell r="A2951">
            <v>1.7690999999999998E-2</v>
          </cell>
        </row>
        <row r="2952">
          <cell r="A2952">
            <v>1.8227E-2</v>
          </cell>
        </row>
        <row r="2953">
          <cell r="A2953">
            <v>1.8876E-2</v>
          </cell>
        </row>
        <row r="2954">
          <cell r="A2954">
            <v>1.2951000000000001E-2</v>
          </cell>
        </row>
        <row r="2955">
          <cell r="A2955">
            <v>1.3213000000000001E-2</v>
          </cell>
        </row>
        <row r="2956">
          <cell r="A2956">
            <v>2.1017000000000001E-2</v>
          </cell>
        </row>
        <row r="2957">
          <cell r="A2957">
            <v>2.3515999999999999E-2</v>
          </cell>
        </row>
        <row r="2958">
          <cell r="A2958">
            <v>1.9938999999999998E-2</v>
          </cell>
        </row>
        <row r="2959">
          <cell r="A2959">
            <v>1.0666E-2</v>
          </cell>
        </row>
        <row r="2960">
          <cell r="A2960">
            <v>1.4076E-2</v>
          </cell>
        </row>
        <row r="2961">
          <cell r="A2961">
            <v>1.3849999999999999E-2</v>
          </cell>
        </row>
        <row r="2962">
          <cell r="A2962">
            <v>2.2249999999999999E-2</v>
          </cell>
        </row>
        <row r="2963">
          <cell r="A2963">
            <v>1.1599E-2</v>
          </cell>
        </row>
        <row r="2964">
          <cell r="A2964">
            <v>2.0275000000000001E-2</v>
          </cell>
        </row>
        <row r="2965">
          <cell r="A2965">
            <v>2.3598999999999998E-2</v>
          </cell>
        </row>
        <row r="2966">
          <cell r="A2966">
            <v>2.4420000000000001E-2</v>
          </cell>
        </row>
        <row r="2967">
          <cell r="A2967">
            <v>1.3679999999999999E-2</v>
          </cell>
        </row>
        <row r="2968">
          <cell r="A2968">
            <v>1.9710999999999999E-2</v>
          </cell>
        </row>
        <row r="2969">
          <cell r="A2969">
            <v>2.2218000000000002E-2</v>
          </cell>
        </row>
        <row r="2970">
          <cell r="A2970">
            <v>1.7684999999999999E-2</v>
          </cell>
        </row>
        <row r="2971">
          <cell r="A2971">
            <v>1.7413000000000001E-2</v>
          </cell>
        </row>
        <row r="2972">
          <cell r="A2972">
            <v>2.1958999999999999E-2</v>
          </cell>
        </row>
        <row r="2973">
          <cell r="A2973">
            <v>1.3493E-2</v>
          </cell>
        </row>
        <row r="2974">
          <cell r="A2974">
            <v>1.8211999999999999E-2</v>
          </cell>
        </row>
        <row r="2975">
          <cell r="A2975">
            <v>1.0730999999999999E-2</v>
          </cell>
        </row>
        <row r="2976">
          <cell r="A2976">
            <v>2.0910999999999999E-2</v>
          </cell>
        </row>
        <row r="2977">
          <cell r="A2977">
            <v>2.3130000000000001E-2</v>
          </cell>
        </row>
        <row r="2978">
          <cell r="A2978">
            <v>1.8127999999999998E-2</v>
          </cell>
        </row>
        <row r="2979">
          <cell r="A2979">
            <v>1.8454000000000002E-2</v>
          </cell>
        </row>
        <row r="2980">
          <cell r="A2980">
            <v>1.9338999999999999E-2</v>
          </cell>
        </row>
        <row r="2981">
          <cell r="A2981">
            <v>1.7049999999999999E-2</v>
          </cell>
        </row>
        <row r="2982">
          <cell r="A2982">
            <v>2.2438E-2</v>
          </cell>
        </row>
        <row r="2983">
          <cell r="A2983">
            <v>7.8969999999999995E-3</v>
          </cell>
        </row>
        <row r="2984">
          <cell r="A2984">
            <v>1.3143999999999999E-2</v>
          </cell>
        </row>
        <row r="2985">
          <cell r="A2985">
            <v>1.9032E-2</v>
          </cell>
        </row>
        <row r="2986">
          <cell r="A2986">
            <v>2.3706000000000001E-2</v>
          </cell>
        </row>
        <row r="2987">
          <cell r="A2987">
            <v>2.1648000000000001E-2</v>
          </cell>
        </row>
        <row r="2988">
          <cell r="A2988">
            <v>1.5263000000000001E-2</v>
          </cell>
        </row>
        <row r="2989">
          <cell r="A2989">
            <v>1.9923E-2</v>
          </cell>
        </row>
        <row r="2990">
          <cell r="A2990">
            <v>2.4981E-2</v>
          </cell>
        </row>
        <row r="2991">
          <cell r="A2991">
            <v>1.9449999999999999E-2</v>
          </cell>
        </row>
        <row r="2992">
          <cell r="A2992">
            <v>1.3799000000000001E-2</v>
          </cell>
        </row>
        <row r="2993">
          <cell r="A2993">
            <v>1.2345999999999999E-2</v>
          </cell>
        </row>
        <row r="2994">
          <cell r="A2994">
            <v>2.1281000000000001E-2</v>
          </cell>
        </row>
        <row r="2995">
          <cell r="A2995">
            <v>1.9982E-2</v>
          </cell>
        </row>
        <row r="2996">
          <cell r="A2996">
            <v>2.4927999999999999E-2</v>
          </cell>
        </row>
        <row r="2997">
          <cell r="A2997">
            <v>1.7565999999999998E-2</v>
          </cell>
        </row>
        <row r="2998">
          <cell r="A2998">
            <v>1.7455999999999999E-2</v>
          </cell>
        </row>
        <row r="2999">
          <cell r="A2999">
            <v>1.4049000000000001E-2</v>
          </cell>
        </row>
        <row r="3000">
          <cell r="A3000">
            <v>1.4296E-2</v>
          </cell>
        </row>
        <row r="3001">
          <cell r="A3001">
            <v>2.2356999999999998E-2</v>
          </cell>
        </row>
        <row r="3002">
          <cell r="A3002">
            <v>2.3203000000000001E-2</v>
          </cell>
        </row>
        <row r="3003">
          <cell r="A3003">
            <v>1.3553000000000001E-2</v>
          </cell>
        </row>
        <row r="3004">
          <cell r="A3004">
            <v>2.0670999999999998E-2</v>
          </cell>
        </row>
        <row r="3005">
          <cell r="A3005">
            <v>2.1166999999999998E-2</v>
          </cell>
        </row>
        <row r="3006">
          <cell r="A3006">
            <v>1.2069E-2</v>
          </cell>
        </row>
        <row r="3007">
          <cell r="A3007">
            <v>1.8083999999999999E-2</v>
          </cell>
        </row>
        <row r="3008">
          <cell r="A3008">
            <v>2.1939E-2</v>
          </cell>
        </row>
        <row r="3009">
          <cell r="A3009">
            <v>1.8019E-2</v>
          </cell>
        </row>
        <row r="3010">
          <cell r="A3010">
            <v>1.9380999999999999E-2</v>
          </cell>
        </row>
        <row r="3011">
          <cell r="A3011">
            <v>1.6851999999999999E-2</v>
          </cell>
        </row>
        <row r="3012">
          <cell r="A3012">
            <v>1.5781E-2</v>
          </cell>
        </row>
        <row r="3013">
          <cell r="A3013">
            <v>2.4156E-2</v>
          </cell>
        </row>
        <row r="3014">
          <cell r="A3014">
            <v>1.0807000000000001E-2</v>
          </cell>
        </row>
        <row r="3015">
          <cell r="A3015">
            <v>1.7139000000000001E-2</v>
          </cell>
        </row>
        <row r="3016">
          <cell r="A3016">
            <v>2.5277000000000001E-2</v>
          </cell>
        </row>
        <row r="3017">
          <cell r="A3017">
            <v>2.2478000000000001E-2</v>
          </cell>
        </row>
        <row r="3018">
          <cell r="A3018">
            <v>2.0483999999999999E-2</v>
          </cell>
        </row>
        <row r="3019">
          <cell r="A3019">
            <v>1.2033E-2</v>
          </cell>
        </row>
        <row r="3020">
          <cell r="A3020">
            <v>1.8734000000000001E-2</v>
          </cell>
        </row>
        <row r="3021">
          <cell r="A3021">
            <v>1.4597000000000001E-2</v>
          </cell>
        </row>
        <row r="3022">
          <cell r="A3022">
            <v>2.3472E-2</v>
          </cell>
        </row>
        <row r="3023">
          <cell r="A3023">
            <v>2.3279999999999999E-2</v>
          </cell>
        </row>
        <row r="3024">
          <cell r="A3024">
            <v>2.3748999999999999E-2</v>
          </cell>
        </row>
        <row r="3025">
          <cell r="A3025">
            <v>1.8762000000000001E-2</v>
          </cell>
        </row>
        <row r="3026">
          <cell r="A3026">
            <v>1.7531999999999999E-2</v>
          </cell>
        </row>
        <row r="3027">
          <cell r="A3027">
            <v>2.2584E-2</v>
          </cell>
        </row>
        <row r="3028">
          <cell r="A3028">
            <v>1.7462999999999999E-2</v>
          </cell>
        </row>
        <row r="3029">
          <cell r="A3029">
            <v>1.4200000000000001E-2</v>
          </cell>
        </row>
        <row r="3030">
          <cell r="A3030">
            <v>2.0326E-2</v>
          </cell>
        </row>
        <row r="3031">
          <cell r="A3031">
            <v>1.8273000000000001E-2</v>
          </cell>
        </row>
        <row r="3032">
          <cell r="A3032">
            <v>1.8617000000000002E-2</v>
          </cell>
        </row>
        <row r="3033">
          <cell r="A3033">
            <v>1.8169999999999999E-2</v>
          </cell>
        </row>
        <row r="3034">
          <cell r="A3034">
            <v>2.2554999999999999E-2</v>
          </cell>
        </row>
        <row r="3035">
          <cell r="A3035">
            <v>2.5104000000000001E-2</v>
          </cell>
        </row>
        <row r="3036">
          <cell r="A3036">
            <v>1.9067000000000001E-2</v>
          </cell>
        </row>
        <row r="3037">
          <cell r="A3037">
            <v>1.4807000000000001E-2</v>
          </cell>
        </row>
        <row r="3038">
          <cell r="A3038">
            <v>1.8474999999999998E-2</v>
          </cell>
        </row>
        <row r="3039">
          <cell r="A3039">
            <v>1.6789999999999999E-2</v>
          </cell>
        </row>
        <row r="3040">
          <cell r="A3040">
            <v>1.8654E-2</v>
          </cell>
        </row>
        <row r="3041">
          <cell r="A3041">
            <v>1.9299E-2</v>
          </cell>
        </row>
        <row r="3042">
          <cell r="A3042">
            <v>2.4122000000000001E-2</v>
          </cell>
        </row>
        <row r="3043">
          <cell r="A3043">
            <v>1.8031999999999999E-2</v>
          </cell>
        </row>
        <row r="3044">
          <cell r="A3044">
            <v>1.0782E-2</v>
          </cell>
        </row>
        <row r="3045">
          <cell r="A3045">
            <v>2.1770999999999999E-2</v>
          </cell>
        </row>
        <row r="3046">
          <cell r="A3046">
            <v>1.9569E-2</v>
          </cell>
        </row>
        <row r="3047">
          <cell r="A3047">
            <v>1.7687999999999999E-2</v>
          </cell>
        </row>
        <row r="3048">
          <cell r="A3048">
            <v>1.6944000000000001E-2</v>
          </cell>
        </row>
        <row r="3049">
          <cell r="A3049">
            <v>9.6740000000000003E-3</v>
          </cell>
        </row>
        <row r="3050">
          <cell r="A3050">
            <v>1.6175999999999999E-2</v>
          </cell>
        </row>
        <row r="3051">
          <cell r="A3051">
            <v>1.7866E-2</v>
          </cell>
        </row>
        <row r="3052">
          <cell r="A3052">
            <v>2.0669E-2</v>
          </cell>
        </row>
        <row r="3053">
          <cell r="A3053">
            <v>1.7933999999999999E-2</v>
          </cell>
        </row>
        <row r="3054">
          <cell r="A3054">
            <v>1.0808999999999999E-2</v>
          </cell>
        </row>
        <row r="3055">
          <cell r="A3055">
            <v>1.2003E-2</v>
          </cell>
        </row>
        <row r="3056">
          <cell r="A3056">
            <v>2.0785999999999999E-2</v>
          </cell>
        </row>
        <row r="3057">
          <cell r="A3057">
            <v>1.1273E-2</v>
          </cell>
        </row>
        <row r="3058">
          <cell r="A3058">
            <v>1.179E-2</v>
          </cell>
        </row>
        <row r="3059">
          <cell r="A3059">
            <v>1.9061999999999999E-2</v>
          </cell>
        </row>
        <row r="3060">
          <cell r="A3060">
            <v>1.7533E-2</v>
          </cell>
        </row>
        <row r="3061">
          <cell r="A3061">
            <v>1.9910000000000001E-2</v>
          </cell>
        </row>
        <row r="3062">
          <cell r="A3062">
            <v>2.0527E-2</v>
          </cell>
        </row>
        <row r="3063">
          <cell r="A3063">
            <v>1.2603E-2</v>
          </cell>
        </row>
        <row r="3064">
          <cell r="A3064">
            <v>1.7401E-2</v>
          </cell>
        </row>
        <row r="3065">
          <cell r="A3065">
            <v>1.8072999999999999E-2</v>
          </cell>
        </row>
        <row r="3066">
          <cell r="A3066">
            <v>2.0133999999999999E-2</v>
          </cell>
        </row>
        <row r="3067">
          <cell r="A3067">
            <v>2.4825E-2</v>
          </cell>
        </row>
        <row r="3068">
          <cell r="A3068">
            <v>1.9316E-2</v>
          </cell>
        </row>
        <row r="3069">
          <cell r="A3069">
            <v>2.4823000000000001E-2</v>
          </cell>
        </row>
        <row r="3070">
          <cell r="A3070">
            <v>1.6829E-2</v>
          </cell>
        </row>
        <row r="3071">
          <cell r="A3071">
            <v>1.9369999999999998E-2</v>
          </cell>
        </row>
        <row r="3072">
          <cell r="A3072">
            <v>1.1617000000000001E-2</v>
          </cell>
        </row>
        <row r="3073">
          <cell r="A3073">
            <v>1.6795999999999998E-2</v>
          </cell>
        </row>
        <row r="3074">
          <cell r="A3074">
            <v>1.2633E-2</v>
          </cell>
        </row>
        <row r="3075">
          <cell r="A3075">
            <v>9.5989999999999999E-3</v>
          </cell>
        </row>
        <row r="3076">
          <cell r="A3076">
            <v>1.7066000000000001E-2</v>
          </cell>
        </row>
        <row r="3077">
          <cell r="A3077">
            <v>2.1902999999999999E-2</v>
          </cell>
        </row>
        <row r="3078">
          <cell r="A3078">
            <v>1.9362000000000001E-2</v>
          </cell>
        </row>
        <row r="3079">
          <cell r="A3079">
            <v>2.3512000000000002E-2</v>
          </cell>
        </row>
        <row r="3080">
          <cell r="A3080">
            <v>1.265E-2</v>
          </cell>
        </row>
        <row r="3081">
          <cell r="A3081">
            <v>1.0444999999999999E-2</v>
          </cell>
        </row>
        <row r="3082">
          <cell r="A3082">
            <v>1.328E-2</v>
          </cell>
        </row>
        <row r="3083">
          <cell r="A3083">
            <v>1.6629000000000001E-2</v>
          </cell>
        </row>
        <row r="3084">
          <cell r="A3084">
            <v>1.4877E-2</v>
          </cell>
        </row>
        <row r="3085">
          <cell r="A3085">
            <v>2.0579E-2</v>
          </cell>
        </row>
        <row r="3086">
          <cell r="A3086">
            <v>1.9494000000000001E-2</v>
          </cell>
        </row>
        <row r="3087">
          <cell r="A3087">
            <v>1.4069999999999999E-2</v>
          </cell>
        </row>
        <row r="3088">
          <cell r="A3088">
            <v>2.1440000000000001E-2</v>
          </cell>
        </row>
        <row r="3089">
          <cell r="A3089">
            <v>8.9379999999999998E-3</v>
          </cell>
        </row>
        <row r="3090">
          <cell r="A3090">
            <v>2.1944000000000002E-2</v>
          </cell>
        </row>
        <row r="3091">
          <cell r="A3091">
            <v>2.1867999999999999E-2</v>
          </cell>
        </row>
        <row r="3092">
          <cell r="A3092">
            <v>1.3487000000000001E-2</v>
          </cell>
        </row>
        <row r="3093">
          <cell r="A3093">
            <v>2.0931999999999999E-2</v>
          </cell>
        </row>
        <row r="3094">
          <cell r="A3094">
            <v>1.1701E-2</v>
          </cell>
        </row>
        <row r="3095">
          <cell r="A3095">
            <v>2.5132999999999999E-2</v>
          </cell>
        </row>
        <row r="3096">
          <cell r="A3096">
            <v>1.7505E-2</v>
          </cell>
        </row>
        <row r="3097">
          <cell r="A3097">
            <v>1.1195E-2</v>
          </cell>
        </row>
        <row r="3098">
          <cell r="A3098">
            <v>1.6386000000000001E-2</v>
          </cell>
        </row>
        <row r="3099">
          <cell r="A3099">
            <v>2.0591999999999999E-2</v>
          </cell>
        </row>
        <row r="3100">
          <cell r="A3100">
            <v>2.3311999999999999E-2</v>
          </cell>
        </row>
        <row r="3101">
          <cell r="A3101">
            <v>2.6690999999999999E-2</v>
          </cell>
        </row>
        <row r="3102">
          <cell r="A3102">
            <v>2.0073000000000001E-2</v>
          </cell>
        </row>
        <row r="3103">
          <cell r="A3103">
            <v>1.7595E-2</v>
          </cell>
        </row>
        <row r="3104">
          <cell r="A3104">
            <v>1.7610000000000001E-2</v>
          </cell>
        </row>
        <row r="3105">
          <cell r="A3105">
            <v>1.2002000000000001E-2</v>
          </cell>
        </row>
        <row r="3106">
          <cell r="A3106">
            <v>8.6639999999999998E-3</v>
          </cell>
        </row>
        <row r="3107">
          <cell r="A3107">
            <v>1.4508E-2</v>
          </cell>
        </row>
        <row r="3108">
          <cell r="A3108">
            <v>1.702E-2</v>
          </cell>
        </row>
        <row r="3109">
          <cell r="A3109">
            <v>1.6409E-2</v>
          </cell>
        </row>
        <row r="3110">
          <cell r="A3110">
            <v>1.7947999999999999E-2</v>
          </cell>
        </row>
        <row r="3111">
          <cell r="A3111">
            <v>1.8526000000000001E-2</v>
          </cell>
        </row>
        <row r="3112">
          <cell r="A3112">
            <v>1.8227E-2</v>
          </cell>
        </row>
        <row r="3113">
          <cell r="A3113">
            <v>2.3304999999999999E-2</v>
          </cell>
        </row>
        <row r="3114">
          <cell r="A3114">
            <v>1.9265999999999998E-2</v>
          </cell>
        </row>
        <row r="3115">
          <cell r="A3115">
            <v>1.6650000000000002E-2</v>
          </cell>
        </row>
        <row r="3116">
          <cell r="A3116">
            <v>2.2141999999999998E-2</v>
          </cell>
        </row>
        <row r="3117">
          <cell r="A3117">
            <v>1.3113E-2</v>
          </cell>
        </row>
        <row r="3118">
          <cell r="A3118">
            <v>2.2849999999999999E-2</v>
          </cell>
        </row>
        <row r="3119">
          <cell r="A3119">
            <v>2.3422999999999999E-2</v>
          </cell>
        </row>
        <row r="3120">
          <cell r="A3120">
            <v>1.2232E-2</v>
          </cell>
        </row>
        <row r="3121">
          <cell r="A3121">
            <v>1.9136E-2</v>
          </cell>
        </row>
        <row r="3122">
          <cell r="A3122">
            <v>1.0652E-2</v>
          </cell>
        </row>
        <row r="3123">
          <cell r="A3123">
            <v>1.5023999999999999E-2</v>
          </cell>
        </row>
        <row r="3124">
          <cell r="A3124">
            <v>1.4426E-2</v>
          </cell>
        </row>
        <row r="3125">
          <cell r="A3125">
            <v>1.7884000000000001E-2</v>
          </cell>
        </row>
        <row r="3126">
          <cell r="A3126">
            <v>2.3494999999999999E-2</v>
          </cell>
        </row>
        <row r="3127">
          <cell r="A3127">
            <v>1.2886E-2</v>
          </cell>
        </row>
        <row r="3128">
          <cell r="A3128">
            <v>1.7388000000000001E-2</v>
          </cell>
        </row>
        <row r="3129">
          <cell r="A3129">
            <v>1.9557000000000001E-2</v>
          </cell>
        </row>
        <row r="3130">
          <cell r="A3130">
            <v>1.6077999999999999E-2</v>
          </cell>
        </row>
        <row r="3131">
          <cell r="A3131">
            <v>2.4993000000000001E-2</v>
          </cell>
        </row>
        <row r="3132">
          <cell r="A3132">
            <v>2.2336000000000002E-2</v>
          </cell>
        </row>
        <row r="3133">
          <cell r="A3133">
            <v>2.2471999999999999E-2</v>
          </cell>
        </row>
        <row r="3134">
          <cell r="A3134">
            <v>1.3480000000000001E-2</v>
          </cell>
        </row>
        <row r="3135">
          <cell r="A3135">
            <v>1.8617000000000002E-2</v>
          </cell>
        </row>
        <row r="3136">
          <cell r="A3136">
            <v>1.2191E-2</v>
          </cell>
        </row>
        <row r="3137">
          <cell r="A3137">
            <v>1.3610000000000001E-2</v>
          </cell>
        </row>
        <row r="3138">
          <cell r="A3138">
            <v>1.508E-2</v>
          </cell>
        </row>
        <row r="3139">
          <cell r="A3139">
            <v>2.0691000000000001E-2</v>
          </cell>
        </row>
        <row r="3140">
          <cell r="A3140">
            <v>1.0689000000000001E-2</v>
          </cell>
        </row>
        <row r="3141">
          <cell r="A3141">
            <v>1.7912999999999998E-2</v>
          </cell>
        </row>
        <row r="3142">
          <cell r="A3142">
            <v>1.7756000000000001E-2</v>
          </cell>
        </row>
        <row r="3143">
          <cell r="A3143">
            <v>2.3028E-2</v>
          </cell>
        </row>
        <row r="3144">
          <cell r="A3144">
            <v>1.7082E-2</v>
          </cell>
        </row>
        <row r="3145">
          <cell r="A3145">
            <v>3.1899999999999998E-2</v>
          </cell>
        </row>
        <row r="3146">
          <cell r="A3146">
            <v>1.9313E-2</v>
          </cell>
        </row>
        <row r="3147">
          <cell r="A3147">
            <v>1.7252E-2</v>
          </cell>
        </row>
        <row r="3148">
          <cell r="A3148">
            <v>1.3112E-2</v>
          </cell>
        </row>
        <row r="3149">
          <cell r="A3149">
            <v>1.9112000000000001E-2</v>
          </cell>
        </row>
        <row r="3150">
          <cell r="A3150">
            <v>1.0836E-2</v>
          </cell>
        </row>
        <row r="3151">
          <cell r="A3151">
            <v>1.1991999999999999E-2</v>
          </cell>
        </row>
        <row r="3152">
          <cell r="A3152">
            <v>9.9209999999999993E-3</v>
          </cell>
        </row>
        <row r="3153">
          <cell r="A3153">
            <v>2.4177000000000001E-2</v>
          </cell>
        </row>
        <row r="3154">
          <cell r="A3154">
            <v>1.5809E-2</v>
          </cell>
        </row>
        <row r="3155">
          <cell r="A3155">
            <v>1.2414E-2</v>
          </cell>
        </row>
        <row r="3156">
          <cell r="A3156">
            <v>1.4097E-2</v>
          </cell>
        </row>
        <row r="3157">
          <cell r="A3157">
            <v>1.2189E-2</v>
          </cell>
        </row>
        <row r="3158">
          <cell r="A3158">
            <v>1.4588E-2</v>
          </cell>
        </row>
        <row r="3159">
          <cell r="A3159">
            <v>1.8169000000000001E-2</v>
          </cell>
        </row>
        <row r="3160">
          <cell r="A3160">
            <v>1.1075E-2</v>
          </cell>
        </row>
        <row r="3161">
          <cell r="A3161">
            <v>1.9015000000000001E-2</v>
          </cell>
        </row>
        <row r="3162">
          <cell r="A3162">
            <v>2.2287999999999999E-2</v>
          </cell>
        </row>
        <row r="3163">
          <cell r="A3163">
            <v>1.0050999999999999E-2</v>
          </cell>
        </row>
        <row r="3164">
          <cell r="A3164">
            <v>1.3636000000000001E-2</v>
          </cell>
        </row>
        <row r="3165">
          <cell r="A3165">
            <v>2.3512000000000002E-2</v>
          </cell>
        </row>
        <row r="3166">
          <cell r="A3166">
            <v>1.6847999999999998E-2</v>
          </cell>
        </row>
        <row r="3167">
          <cell r="A3167">
            <v>1.8055000000000002E-2</v>
          </cell>
        </row>
        <row r="3168">
          <cell r="A3168">
            <v>1.0777999999999999E-2</v>
          </cell>
        </row>
        <row r="3169">
          <cell r="A3169">
            <v>2.2445E-2</v>
          </cell>
        </row>
        <row r="3170">
          <cell r="A3170">
            <v>1.736E-2</v>
          </cell>
        </row>
        <row r="3171">
          <cell r="A3171">
            <v>1.3613999999999999E-2</v>
          </cell>
        </row>
        <row r="3172">
          <cell r="A3172">
            <v>1.5103999999999999E-2</v>
          </cell>
        </row>
        <row r="3173">
          <cell r="A3173">
            <v>1.2520999999999999E-2</v>
          </cell>
        </row>
        <row r="3174">
          <cell r="A3174">
            <v>1.5381000000000001E-2</v>
          </cell>
        </row>
        <row r="3175">
          <cell r="A3175">
            <v>1.1043000000000001E-2</v>
          </cell>
        </row>
        <row r="3176">
          <cell r="A3176">
            <v>1.6428999999999999E-2</v>
          </cell>
        </row>
        <row r="3177">
          <cell r="A3177">
            <v>2.1765E-2</v>
          </cell>
        </row>
        <row r="3178">
          <cell r="A3178">
            <v>1.6293999999999999E-2</v>
          </cell>
        </row>
        <row r="3179">
          <cell r="A3179">
            <v>1.0717000000000001E-2</v>
          </cell>
        </row>
        <row r="3180">
          <cell r="A3180">
            <v>1.8171E-2</v>
          </cell>
        </row>
        <row r="3181">
          <cell r="A3181">
            <v>1.0012999999999999E-2</v>
          </cell>
        </row>
        <row r="3182">
          <cell r="A3182">
            <v>1.8159000000000002E-2</v>
          </cell>
        </row>
        <row r="3183">
          <cell r="A3183">
            <v>2.4697E-2</v>
          </cell>
        </row>
        <row r="3184">
          <cell r="A3184">
            <v>2.1014000000000001E-2</v>
          </cell>
        </row>
        <row r="3185">
          <cell r="A3185">
            <v>1.7387E-2</v>
          </cell>
        </row>
        <row r="3186">
          <cell r="A3186">
            <v>1.8114999999999999E-2</v>
          </cell>
        </row>
        <row r="3187">
          <cell r="A3187">
            <v>9.7339999999999996E-3</v>
          </cell>
        </row>
        <row r="3188">
          <cell r="A3188">
            <v>1.7586000000000001E-2</v>
          </cell>
        </row>
        <row r="3189">
          <cell r="A3189">
            <v>2.1682E-2</v>
          </cell>
        </row>
        <row r="3190">
          <cell r="A3190">
            <v>1.0861000000000001E-2</v>
          </cell>
        </row>
        <row r="3191">
          <cell r="A3191">
            <v>1.7195999999999999E-2</v>
          </cell>
        </row>
        <row r="3192">
          <cell r="A3192">
            <v>1.0623E-2</v>
          </cell>
        </row>
        <row r="3193">
          <cell r="A3193">
            <v>1.8373E-2</v>
          </cell>
        </row>
        <row r="3194">
          <cell r="A3194">
            <v>2.1465000000000001E-2</v>
          </cell>
        </row>
        <row r="3195">
          <cell r="A3195">
            <v>1.2125E-2</v>
          </cell>
        </row>
        <row r="3196">
          <cell r="A3196">
            <v>1.7717E-2</v>
          </cell>
        </row>
        <row r="3197">
          <cell r="A3197">
            <v>1.0753E-2</v>
          </cell>
        </row>
        <row r="3198">
          <cell r="A3198">
            <v>1.7711000000000001E-2</v>
          </cell>
        </row>
        <row r="3199">
          <cell r="A3199">
            <v>1.0045E-2</v>
          </cell>
        </row>
        <row r="3200">
          <cell r="A3200">
            <v>1.9316E-2</v>
          </cell>
        </row>
        <row r="3201">
          <cell r="A3201">
            <v>9.0580000000000001E-3</v>
          </cell>
        </row>
        <row r="3202">
          <cell r="A3202">
            <v>1.0414E-2</v>
          </cell>
        </row>
        <row r="3203">
          <cell r="A3203">
            <v>2.154E-2</v>
          </cell>
        </row>
        <row r="3204">
          <cell r="A3204">
            <v>1.0784E-2</v>
          </cell>
        </row>
        <row r="3205">
          <cell r="A3205">
            <v>1.3840999999999999E-2</v>
          </cell>
        </row>
        <row r="3206">
          <cell r="A3206">
            <v>1.8266999999999999E-2</v>
          </cell>
        </row>
        <row r="3207">
          <cell r="A3207">
            <v>2.2218999999999999E-2</v>
          </cell>
        </row>
        <row r="3208">
          <cell r="A3208">
            <v>2.3748999999999999E-2</v>
          </cell>
        </row>
        <row r="3209">
          <cell r="A3209">
            <v>1.2892000000000001E-2</v>
          </cell>
        </row>
        <row r="3210">
          <cell r="A3210">
            <v>1.9002999999999999E-2</v>
          </cell>
        </row>
        <row r="3211">
          <cell r="A3211">
            <v>9.5429999999999994E-3</v>
          </cell>
        </row>
        <row r="3212">
          <cell r="A3212">
            <v>1.6152E-2</v>
          </cell>
        </row>
        <row r="3213">
          <cell r="A3213">
            <v>1.7274000000000001E-2</v>
          </cell>
        </row>
        <row r="3214">
          <cell r="A3214">
            <v>1.7158E-2</v>
          </cell>
        </row>
        <row r="3215">
          <cell r="A3215">
            <v>8.6250000000000007E-3</v>
          </cell>
        </row>
        <row r="3216">
          <cell r="A3216">
            <v>1.0661E-2</v>
          </cell>
        </row>
        <row r="3217">
          <cell r="A3217">
            <v>1.0519000000000001E-2</v>
          </cell>
        </row>
        <row r="3218">
          <cell r="A3218">
            <v>1.3875999999999999E-2</v>
          </cell>
        </row>
        <row r="3219">
          <cell r="A3219">
            <v>1.6264000000000001E-2</v>
          </cell>
        </row>
        <row r="3220">
          <cell r="A3220">
            <v>1.7985000000000001E-2</v>
          </cell>
        </row>
        <row r="3221">
          <cell r="A3221">
            <v>8.5749999999999993E-3</v>
          </cell>
        </row>
        <row r="3222">
          <cell r="A3222">
            <v>1.2965000000000001E-2</v>
          </cell>
        </row>
        <row r="3223">
          <cell r="A3223">
            <v>9.3259999999999992E-3</v>
          </cell>
        </row>
        <row r="3224">
          <cell r="A3224">
            <v>1.0286E-2</v>
          </cell>
        </row>
        <row r="3225">
          <cell r="A3225">
            <v>1.1063E-2</v>
          </cell>
        </row>
        <row r="3226">
          <cell r="A3226">
            <v>2.3220000000000001E-2</v>
          </cell>
        </row>
        <row r="3227">
          <cell r="A3227">
            <v>2.1439E-2</v>
          </cell>
        </row>
        <row r="3228">
          <cell r="A3228">
            <v>1.1148E-2</v>
          </cell>
        </row>
        <row r="3229">
          <cell r="A3229">
            <v>1.6636000000000001E-2</v>
          </cell>
        </row>
        <row r="3230">
          <cell r="A3230">
            <v>1.5606E-2</v>
          </cell>
        </row>
        <row r="3231">
          <cell r="A3231">
            <v>1.7864999999999999E-2</v>
          </cell>
        </row>
        <row r="3232">
          <cell r="A3232">
            <v>8.2819999999999994E-3</v>
          </cell>
        </row>
        <row r="3233">
          <cell r="A3233">
            <v>1.0226000000000001E-2</v>
          </cell>
        </row>
        <row r="3234">
          <cell r="A3234">
            <v>1.0014E-2</v>
          </cell>
        </row>
        <row r="3235">
          <cell r="A3235">
            <v>1.0485E-2</v>
          </cell>
        </row>
        <row r="3236">
          <cell r="A3236">
            <v>1.9497E-2</v>
          </cell>
        </row>
        <row r="3237">
          <cell r="A3237">
            <v>1.0861000000000001E-2</v>
          </cell>
        </row>
        <row r="3238">
          <cell r="A3238">
            <v>1.5493E-2</v>
          </cell>
        </row>
        <row r="3239">
          <cell r="A3239">
            <v>2.2709E-2</v>
          </cell>
        </row>
        <row r="3240">
          <cell r="A3240">
            <v>1.6669E-2</v>
          </cell>
        </row>
        <row r="3241">
          <cell r="A3241">
            <v>1.8238000000000001E-2</v>
          </cell>
        </row>
        <row r="3242">
          <cell r="A3242">
            <v>8.4069999999999995E-3</v>
          </cell>
        </row>
        <row r="3243">
          <cell r="A3243">
            <v>1.6265000000000002E-2</v>
          </cell>
        </row>
        <row r="3244">
          <cell r="A3244">
            <v>8.9980000000000008E-3</v>
          </cell>
        </row>
        <row r="3245">
          <cell r="A3245">
            <v>1.2674E-2</v>
          </cell>
        </row>
        <row r="3246">
          <cell r="A3246">
            <v>3.3915000000000001E-2</v>
          </cell>
        </row>
        <row r="3247">
          <cell r="A3247">
            <v>1.7843999999999999E-2</v>
          </cell>
        </row>
        <row r="3248">
          <cell r="A3248">
            <v>1.5951E-2</v>
          </cell>
        </row>
        <row r="3249">
          <cell r="A3249">
            <v>9.8530000000000006E-3</v>
          </cell>
        </row>
        <row r="3250">
          <cell r="A3250">
            <v>1.1416000000000001E-2</v>
          </cell>
        </row>
        <row r="3251">
          <cell r="A3251">
            <v>1.302E-2</v>
          </cell>
        </row>
        <row r="3252">
          <cell r="A3252">
            <v>1.0841999999999999E-2</v>
          </cell>
        </row>
        <row r="3253">
          <cell r="A3253">
            <v>1.4182999999999999E-2</v>
          </cell>
        </row>
        <row r="3254">
          <cell r="A3254">
            <v>9.4280000000000006E-3</v>
          </cell>
        </row>
        <row r="3255">
          <cell r="A3255">
            <v>1.1597E-2</v>
          </cell>
        </row>
        <row r="3256">
          <cell r="A3256">
            <v>1.3265000000000001E-2</v>
          </cell>
        </row>
        <row r="3257">
          <cell r="A3257">
            <v>1.0657E-2</v>
          </cell>
        </row>
        <row r="3258">
          <cell r="A3258">
            <v>1.1845E-2</v>
          </cell>
        </row>
        <row r="3259">
          <cell r="A3259">
            <v>1.0588E-2</v>
          </cell>
        </row>
        <row r="3260">
          <cell r="A3260">
            <v>9.4350000000000007E-3</v>
          </cell>
        </row>
        <row r="3261">
          <cell r="A3261">
            <v>9.4380000000000002E-3</v>
          </cell>
        </row>
        <row r="3262">
          <cell r="A3262">
            <v>7.2690000000000003E-3</v>
          </cell>
        </row>
        <row r="3263">
          <cell r="A3263">
            <v>2.1568E-2</v>
          </cell>
        </row>
        <row r="3264">
          <cell r="A3264">
            <v>7.9360000000000003E-3</v>
          </cell>
        </row>
        <row r="3265">
          <cell r="A3265">
            <v>2.4074999999999999E-2</v>
          </cell>
        </row>
        <row r="3266">
          <cell r="A3266">
            <v>1.9768999999999998E-2</v>
          </cell>
        </row>
        <row r="3267">
          <cell r="A3267">
            <v>1.7711000000000001E-2</v>
          </cell>
        </row>
        <row r="3268">
          <cell r="A3268">
            <v>1.9213000000000001E-2</v>
          </cell>
        </row>
        <row r="3269">
          <cell r="A3269">
            <v>1.2507000000000001E-2</v>
          </cell>
        </row>
        <row r="3270">
          <cell r="A3270">
            <v>1.0410000000000001E-2</v>
          </cell>
        </row>
        <row r="3271">
          <cell r="A3271">
            <v>1.7003000000000001E-2</v>
          </cell>
        </row>
        <row r="3272">
          <cell r="A3272">
            <v>1.5751000000000001E-2</v>
          </cell>
        </row>
        <row r="3273">
          <cell r="A3273">
            <v>1.1971000000000001E-2</v>
          </cell>
        </row>
        <row r="3274">
          <cell r="A3274">
            <v>1.4659999999999999E-2</v>
          </cell>
        </row>
        <row r="3275">
          <cell r="A3275">
            <v>1.5674E-2</v>
          </cell>
        </row>
        <row r="3276">
          <cell r="A3276">
            <v>1.3221E-2</v>
          </cell>
        </row>
        <row r="3277">
          <cell r="A3277">
            <v>1.1827000000000001E-2</v>
          </cell>
        </row>
        <row r="3278">
          <cell r="A3278">
            <v>1.1480000000000001E-2</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Set>
  </externalBook>
</externalLink>
</file>

<file path=xl/externalLinks/externalLink2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arrant"/>
      <sheetName val="RSV"/>
      <sheetName val="ISRDATA"/>
      <sheetName val="Dell FAI"/>
      <sheetName val="CpK "/>
      <sheetName val="Dell-Cpk"/>
      <sheetName val="Dell-Cpk (2)"/>
      <sheetName val="Dell-Cpk (3)"/>
      <sheetName val="Dell-Cpk (4)"/>
      <sheetName val="Gage R&amp;R"/>
      <sheetName val="Drawing"/>
      <sheetName val="Matl Cert"/>
    </sheetNames>
    <sheetDataSet>
      <sheetData sheetId="0"/>
      <sheetData sheetId="1"/>
      <sheetData sheetId="2">
        <row r="4">
          <cell r="C4" t="str">
            <v>0F564</v>
          </cell>
        </row>
        <row r="5">
          <cell r="H5">
            <v>37159</v>
          </cell>
          <cell r="K5" t="str">
            <v>X06-00</v>
          </cell>
        </row>
      </sheetData>
      <sheetData sheetId="3"/>
      <sheetData sheetId="4"/>
      <sheetData sheetId="5"/>
      <sheetData sheetId="6"/>
      <sheetData sheetId="7"/>
      <sheetData sheetId="8"/>
      <sheetData sheetId="9"/>
      <sheetData sheetId="10"/>
      <sheetData sheetId="11"/>
    </sheetDataSet>
  </externalBook>
</externalLink>
</file>

<file path=xl/externalLinks/externalLink2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oadmap 2007"/>
      <sheetName val="Energy solution"/>
      <sheetName val="Rhombic mandrel"/>
      <sheetName val="Reference data"/>
      <sheetName val="Rhombic mandrel (2)"/>
      <sheetName val="Fixture"/>
      <sheetName val="Design_M6S"/>
      <sheetName val="Coating_1"/>
      <sheetName val="OutputBOM"/>
      <sheetName val="BOM"/>
      <sheetName val="Material list"/>
      <sheetName val="Electrode weight"/>
      <sheetName val="Anode"/>
      <sheetName val="Cathode"/>
      <sheetName val="Pocket die"/>
      <sheetName val="Electrolyte"/>
      <sheetName val="Separator"/>
      <sheetName val="Packing foil"/>
      <sheetName val="Current collector"/>
      <sheetName val="Tab"/>
      <sheetName val="Sealent"/>
      <sheetName val="Adhesive tape"/>
      <sheetName val="Tray"/>
      <sheetName val="Formulation"/>
      <sheetName val="Electrolyte in cell"/>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row r="10">
          <cell r="C10" t="str">
            <v>CD25 + 5um treatment</v>
          </cell>
        </row>
        <row r="11">
          <cell r="C11" t="str">
            <v>ED20 + 5um treatment</v>
          </cell>
        </row>
        <row r="12">
          <cell r="C12" t="str">
            <v>CD25 + 1um treatment</v>
          </cell>
        </row>
        <row r="13">
          <cell r="C13" t="str">
            <v>ED20 + 1um treatment</v>
          </cell>
        </row>
        <row r="14">
          <cell r="C14" t="str">
            <v>CD16 + 1um treatment</v>
          </cell>
        </row>
        <row r="15">
          <cell r="C15" t="str">
            <v>CD-25</v>
          </cell>
        </row>
        <row r="16">
          <cell r="C16" t="str">
            <v>ED-20</v>
          </cell>
        </row>
        <row r="17">
          <cell r="C17" t="str">
            <v>CD-16</v>
          </cell>
        </row>
        <row r="18">
          <cell r="C18" t="str">
            <v>Mitsui PE18</v>
          </cell>
        </row>
        <row r="19">
          <cell r="C19" t="str">
            <v>PE-12</v>
          </cell>
        </row>
      </sheetData>
      <sheetData sheetId="17">
        <row r="10">
          <cell r="C10" t="str">
            <v>Thin DNP-1.563-0.113</v>
          </cell>
        </row>
        <row r="11">
          <cell r="C11" t="str">
            <v>Thin Showa-1.563-0.115</v>
          </cell>
        </row>
        <row r="12">
          <cell r="C12" t="str">
            <v>Showa-1.486-0.150</v>
          </cell>
        </row>
        <row r="13">
          <cell r="C13" t="str">
            <v>DNP 0.117mm</v>
          </cell>
        </row>
        <row r="14">
          <cell r="C14" t="str">
            <v>Sony-1.000-0.086</v>
          </cell>
        </row>
      </sheetData>
      <sheetData sheetId="18"/>
      <sheetData sheetId="19"/>
      <sheetData sheetId="20"/>
      <sheetData sheetId="21"/>
      <sheetData sheetId="22"/>
      <sheetData sheetId="23"/>
      <sheetData sheetId="24"/>
    </sheetDataSet>
  </externalBook>
</externalLink>
</file>

<file path=xl/externalLinks/externalLink2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Name val="AFCO"/>
      <sheetName val="CHCK"/>
      <sheetName val="P1-BS"/>
      <sheetName val="P2-PL"/>
      <sheetName val="P3-SS"/>
      <sheetName val="P4-AR"/>
      <sheetName val="P5-AP"/>
      <sheetName val="P6-TR"/>
      <sheetName val="P7-DT1"/>
      <sheetName val="P8-DT2"/>
      <sheetName val="P9-DT3"/>
      <sheetName val="P10-DT4"/>
      <sheetName val="P11-DT5"/>
      <sheetName val="P12-DT6"/>
      <sheetName val="P13-DT7"/>
      <sheetName val="P14-DT8"/>
      <sheetName val="P15-DT9"/>
      <sheetName val="P16-FS1"/>
      <sheetName val="P17-FS2"/>
      <sheetName val="P18-FS3"/>
      <sheetName val="P19-FS4"/>
      <sheetName val="P20-FS5"/>
      <sheetName val="P21-FS6"/>
      <sheetName val="P22-FS7"/>
      <sheetName val="P23-FS8"/>
      <sheetName val="P24-FS9"/>
      <sheetName val="P25-TE"/>
      <sheetName val="P26-SEG1"/>
      <sheetName val="P27-APP1"/>
      <sheetName val="P28-APP2"/>
      <sheetName val="DEF"/>
      <sheetName val="TABLE"/>
      <sheetName val="Segment"/>
      <sheetName val="FK Ma"/>
    </sheetNames>
    <sheetDataSet>
      <sheetData sheetId="0" refreshError="1"/>
      <sheetData sheetId="1" refreshError="1"/>
      <sheetData sheetId="2" refreshError="1"/>
      <sheetData sheetId="3" refreshError="1"/>
      <sheetData sheetId="4" refreshError="1"/>
      <sheetData sheetId="5"/>
      <sheetData sheetId="6"/>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row r="2">
          <cell r="C2">
            <v>37346</v>
          </cell>
        </row>
        <row r="4">
          <cell r="C4" t="str">
            <v>KETM</v>
          </cell>
        </row>
        <row r="5">
          <cell r="B5" t="str">
            <v>RM</v>
          </cell>
        </row>
      </sheetData>
      <sheetData sheetId="32"/>
      <sheetData sheetId="33"/>
      <sheetData sheetId="34" refreshError="1"/>
    </sheetDataSet>
  </externalBook>
</externalLink>
</file>

<file path=xl/externalLinks/externalLink2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V Project Schedule Rev.01"/>
      <sheetName val="Reliability Test"/>
      <sheetName val="Customer Spec"/>
      <sheetName val="Cell Design Change "/>
      <sheetName val="Process Change"/>
      <sheetName val="Action Log(Open issue)"/>
      <sheetName val="Action Log(Closed issue)"/>
      <sheetName val="Customer Feedback"/>
      <sheetName val="Customer audit"/>
      <sheetName val="Process control"/>
      <sheetName val="Key parameter-thinkness"/>
      <sheetName val="Fixture"/>
      <sheetName val="Sheet1 "/>
      <sheetName val="Sheet2"/>
      <sheetName val="Sheet3"/>
      <sheetName val="HL-EVF20141223001"/>
      <sheetName val="milestone"/>
      <sheetName val="Data"/>
      <sheetName val="11707-BK"/>
      <sheetName val="11707-B1"/>
      <sheetName val="11707-B2"/>
      <sheetName val="11707-B3"/>
      <sheetName val="11707-K1"/>
      <sheetName val="11707-K2"/>
      <sheetName val="11707-K3"/>
      <sheetName val="11707-K4"/>
      <sheetName val="11707-K5"/>
      <sheetName val="HL-06251280D033"/>
      <sheetName val="CR-06251280D002"/>
      <sheetName val="CR-06251280D010"/>
      <sheetName val="CR-06251280B026"/>
    </sheetNames>
    <sheetDataSet>
      <sheetData sheetId="0">
        <row r="4">
          <cell r="F4" t="str">
            <v>PPG厚度</v>
          </cell>
        </row>
        <row r="9">
          <cell r="F9" t="str">
            <v>开始时间</v>
          </cell>
        </row>
        <row r="11">
          <cell r="F11">
            <v>39363</v>
          </cell>
        </row>
        <row r="13">
          <cell r="F13">
            <v>39363</v>
          </cell>
        </row>
        <row r="14">
          <cell r="F14">
            <v>39364</v>
          </cell>
        </row>
        <row r="15">
          <cell r="F15">
            <v>39364</v>
          </cell>
        </row>
        <row r="16">
          <cell r="F16">
            <v>39364</v>
          </cell>
        </row>
        <row r="17">
          <cell r="F17">
            <v>39364</v>
          </cell>
        </row>
        <row r="18">
          <cell r="F18">
            <v>39364</v>
          </cell>
        </row>
        <row r="19">
          <cell r="F19">
            <v>39365</v>
          </cell>
        </row>
        <row r="20">
          <cell r="F20">
            <v>39366</v>
          </cell>
        </row>
        <row r="21">
          <cell r="F21">
            <v>39367</v>
          </cell>
        </row>
        <row r="22">
          <cell r="F22">
            <v>39368</v>
          </cell>
        </row>
        <row r="23">
          <cell r="F23">
            <v>39368</v>
          </cell>
        </row>
        <row r="24">
          <cell r="F24">
            <v>39369</v>
          </cell>
        </row>
        <row r="25">
          <cell r="F25">
            <v>39369</v>
          </cell>
        </row>
        <row r="26">
          <cell r="F26">
            <v>39370</v>
          </cell>
        </row>
        <row r="27">
          <cell r="F27">
            <v>39370</v>
          </cell>
        </row>
        <row r="28">
          <cell r="F28">
            <v>39371</v>
          </cell>
        </row>
        <row r="29">
          <cell r="F29">
            <v>39371</v>
          </cell>
        </row>
        <row r="30">
          <cell r="F30">
            <v>39372</v>
          </cell>
        </row>
        <row r="31">
          <cell r="F31">
            <v>39372</v>
          </cell>
        </row>
        <row r="32">
          <cell r="F32">
            <v>39372</v>
          </cell>
        </row>
        <row r="33">
          <cell r="F33">
            <v>39372</v>
          </cell>
        </row>
        <row r="34">
          <cell r="F34">
            <v>39374</v>
          </cell>
        </row>
        <row r="35">
          <cell r="F35">
            <v>39375</v>
          </cell>
        </row>
        <row r="36">
          <cell r="F36">
            <v>39375</v>
          </cell>
        </row>
        <row r="37">
          <cell r="F37">
            <v>39376</v>
          </cell>
        </row>
        <row r="38">
          <cell r="F38">
            <v>39377</v>
          </cell>
        </row>
        <row r="39">
          <cell r="F39">
            <v>39377</v>
          </cell>
        </row>
        <row r="40">
          <cell r="F40">
            <v>39379</v>
          </cell>
        </row>
        <row r="41">
          <cell r="F41">
            <v>39380</v>
          </cell>
        </row>
        <row r="42">
          <cell r="F42">
            <v>39380</v>
          </cell>
        </row>
        <row r="43">
          <cell r="F43">
            <v>39381</v>
          </cell>
        </row>
        <row r="44">
          <cell r="F44">
            <v>39382</v>
          </cell>
        </row>
        <row r="45">
          <cell r="F45">
            <v>39386</v>
          </cell>
        </row>
        <row r="46">
          <cell r="F46">
            <v>39387</v>
          </cell>
        </row>
        <row r="47">
          <cell r="F47">
            <v>39391</v>
          </cell>
        </row>
        <row r="48">
          <cell r="F48">
            <v>39391</v>
          </cell>
        </row>
        <row r="49">
          <cell r="F49">
            <v>39404</v>
          </cell>
        </row>
        <row r="50">
          <cell r="F50">
            <v>39411</v>
          </cell>
        </row>
        <row r="51">
          <cell r="F51" t="str">
            <v>Plan</v>
          </cell>
        </row>
        <row r="52">
          <cell r="F52" t="str">
            <v>Plan</v>
          </cell>
        </row>
        <row r="53">
          <cell r="F53" t="str">
            <v>Plan</v>
          </cell>
        </row>
        <row r="54">
          <cell r="F54" t="str">
            <v>Plan</v>
          </cell>
        </row>
        <row r="55">
          <cell r="F55" t="str">
            <v>Plan</v>
          </cell>
        </row>
        <row r="56">
          <cell r="F56" t="str">
            <v>Plan</v>
          </cell>
        </row>
        <row r="60">
          <cell r="F60">
            <v>39382</v>
          </cell>
        </row>
        <row r="62">
          <cell r="F62">
            <v>39390</v>
          </cell>
        </row>
        <row r="63">
          <cell r="F63">
            <v>39390</v>
          </cell>
        </row>
        <row r="64">
          <cell r="F64">
            <v>39390</v>
          </cell>
        </row>
        <row r="65">
          <cell r="F65" t="str">
            <v>N.A</v>
          </cell>
        </row>
        <row r="66">
          <cell r="F66" t="str">
            <v>N.A</v>
          </cell>
        </row>
        <row r="67">
          <cell r="F67">
            <v>39390</v>
          </cell>
        </row>
        <row r="70">
          <cell r="F70">
            <v>39390</v>
          </cell>
        </row>
        <row r="71">
          <cell r="F71">
            <v>39390</v>
          </cell>
        </row>
        <row r="72">
          <cell r="F72">
            <v>39390</v>
          </cell>
        </row>
        <row r="73">
          <cell r="F73">
            <v>39390</v>
          </cell>
        </row>
        <row r="74">
          <cell r="F74">
            <v>39390</v>
          </cell>
        </row>
        <row r="78">
          <cell r="F78">
            <v>39390</v>
          </cell>
        </row>
        <row r="79">
          <cell r="F79">
            <v>39390</v>
          </cell>
        </row>
        <row r="80">
          <cell r="F80">
            <v>39390</v>
          </cell>
        </row>
        <row r="81">
          <cell r="F81">
            <v>39390</v>
          </cell>
        </row>
        <row r="82">
          <cell r="F82">
            <v>39390</v>
          </cell>
        </row>
        <row r="85">
          <cell r="F85">
            <v>39390</v>
          </cell>
        </row>
        <row r="86">
          <cell r="F86">
            <v>39390</v>
          </cell>
        </row>
        <row r="89">
          <cell r="F89" t="str">
            <v>Plan</v>
          </cell>
        </row>
        <row r="90">
          <cell r="F90" t="str">
            <v>Plan</v>
          </cell>
        </row>
        <row r="93">
          <cell r="F93" t="str">
            <v>L</v>
          </cell>
        </row>
        <row r="94">
          <cell r="F94" t="str">
            <v>L</v>
          </cell>
        </row>
        <row r="95">
          <cell r="F95" t="str">
            <v>S</v>
          </cell>
        </row>
        <row r="96">
          <cell r="F96" t="str">
            <v>L</v>
          </cell>
        </row>
        <row r="97">
          <cell r="F97" t="str">
            <v>L</v>
          </cell>
        </row>
        <row r="98">
          <cell r="F98">
            <v>39364</v>
          </cell>
        </row>
        <row r="99">
          <cell r="F99" t="str">
            <v>L</v>
          </cell>
        </row>
        <row r="100">
          <cell r="F100" t="str">
            <v>N.A</v>
          </cell>
        </row>
        <row r="101">
          <cell r="F101">
            <v>39364</v>
          </cell>
        </row>
        <row r="102">
          <cell r="F102" t="str">
            <v>N.A</v>
          </cell>
        </row>
        <row r="103">
          <cell r="F103" t="str">
            <v>L</v>
          </cell>
        </row>
        <row r="104">
          <cell r="F104">
            <v>39364</v>
          </cell>
        </row>
        <row r="105">
          <cell r="F105">
            <v>39370</v>
          </cell>
        </row>
        <row r="106">
          <cell r="F106" t="str">
            <v>L</v>
          </cell>
        </row>
        <row r="107">
          <cell r="F107">
            <v>39364</v>
          </cell>
        </row>
        <row r="108">
          <cell r="F108">
            <v>39364</v>
          </cell>
        </row>
        <row r="109">
          <cell r="F109">
            <v>39364</v>
          </cell>
        </row>
        <row r="110">
          <cell r="F110">
            <v>39364</v>
          </cell>
        </row>
        <row r="111">
          <cell r="F111" t="str">
            <v>L</v>
          </cell>
        </row>
        <row r="112">
          <cell r="F112" t="str">
            <v>L</v>
          </cell>
        </row>
        <row r="113">
          <cell r="F113">
            <v>39364</v>
          </cell>
        </row>
        <row r="114">
          <cell r="F114" t="str">
            <v>L</v>
          </cell>
        </row>
        <row r="115">
          <cell r="F115" t="str">
            <v>L</v>
          </cell>
        </row>
        <row r="116">
          <cell r="F116" t="str">
            <v>L</v>
          </cell>
        </row>
        <row r="117">
          <cell r="F117">
            <v>39364</v>
          </cell>
        </row>
        <row r="118">
          <cell r="F118">
            <v>39364</v>
          </cell>
        </row>
        <row r="119">
          <cell r="F119">
            <v>39364</v>
          </cell>
        </row>
        <row r="122">
          <cell r="F122" t="str">
            <v>Plan</v>
          </cell>
        </row>
        <row r="123">
          <cell r="F123" t="str">
            <v>Plan</v>
          </cell>
        </row>
        <row r="129">
          <cell r="F129">
            <v>39364</v>
          </cell>
        </row>
        <row r="130">
          <cell r="F130" t="str">
            <v>Plan</v>
          </cell>
        </row>
        <row r="131">
          <cell r="F131" t="str">
            <v>Plan</v>
          </cell>
        </row>
        <row r="132">
          <cell r="F132" t="str">
            <v>Plan</v>
          </cell>
        </row>
        <row r="133">
          <cell r="F133" t="str">
            <v>Plan</v>
          </cell>
        </row>
        <row r="134">
          <cell r="F134" t="str">
            <v>Plan</v>
          </cell>
        </row>
        <row r="135">
          <cell r="F135" t="str">
            <v>Plan</v>
          </cell>
        </row>
        <row r="136">
          <cell r="F136" t="str">
            <v>Plan</v>
          </cell>
        </row>
        <row r="137">
          <cell r="F137" t="str">
            <v>Plan</v>
          </cell>
        </row>
        <row r="138">
          <cell r="F138" t="str">
            <v>Plan</v>
          </cell>
        </row>
        <row r="139">
          <cell r="F139" t="str">
            <v>Plan</v>
          </cell>
        </row>
        <row r="140">
          <cell r="F140" t="str">
            <v>Plan</v>
          </cell>
        </row>
        <row r="141">
          <cell r="F141" t="str">
            <v>Plan</v>
          </cell>
        </row>
        <row r="142">
          <cell r="F142" t="str">
            <v>Plan</v>
          </cell>
        </row>
        <row r="143">
          <cell r="F143" t="str">
            <v>Plan</v>
          </cell>
        </row>
        <row r="144">
          <cell r="F144" t="str">
            <v>Plan</v>
          </cell>
        </row>
        <row r="145">
          <cell r="F145" t="str">
            <v>Plan</v>
          </cell>
        </row>
        <row r="146">
          <cell r="F146" t="str">
            <v>Plan</v>
          </cell>
        </row>
        <row r="147">
          <cell r="F147" t="str">
            <v>Plan</v>
          </cell>
        </row>
        <row r="148">
          <cell r="F148" t="str">
            <v>Plan</v>
          </cell>
        </row>
        <row r="149">
          <cell r="F149" t="str">
            <v>Plan</v>
          </cell>
        </row>
      </sheetData>
      <sheetData sheetId="1"/>
      <sheetData sheetId="2"/>
      <sheetData sheetId="3">
        <row r="9">
          <cell r="F9" t="str">
            <v>开始时间</v>
          </cell>
        </row>
      </sheetData>
      <sheetData sheetId="4"/>
      <sheetData sheetId="5"/>
      <sheetData sheetId="6">
        <row r="9">
          <cell r="F9" t="str">
            <v>开始时间</v>
          </cell>
        </row>
      </sheetData>
      <sheetData sheetId="7"/>
      <sheetData sheetId="8"/>
      <sheetData sheetId="9">
        <row r="4">
          <cell r="F4" t="str">
            <v>PPG厚度</v>
          </cell>
        </row>
      </sheetData>
      <sheetData sheetId="10"/>
      <sheetData sheetId="11"/>
      <sheetData sheetId="12">
        <row r="4">
          <cell r="F4" t="str">
            <v>PPG厚度</v>
          </cell>
        </row>
      </sheetData>
      <sheetData sheetId="13"/>
      <sheetData sheetId="14"/>
      <sheetData sheetId="15"/>
      <sheetData sheetId="16">
        <row r="1">
          <cell r="F1">
            <v>0</v>
          </cell>
        </row>
      </sheetData>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Warrant"/>
      <sheetName val="RSV"/>
      <sheetName val="ISRDATA"/>
      <sheetName val="Dell FAI"/>
      <sheetName val="CpK "/>
      <sheetName val="Dell-Cpk"/>
      <sheetName val="Dell-Cpk (2)"/>
      <sheetName val="Dell-Cpk (3)"/>
      <sheetName val="Dell-Cpk (4)"/>
      <sheetName val="Gage R&amp;R"/>
      <sheetName val="Drawing"/>
      <sheetName val="Matl Cert"/>
    </sheetNames>
    <sheetDataSet>
      <sheetData sheetId="0"/>
      <sheetData sheetId="1"/>
      <sheetData sheetId="2">
        <row r="5">
          <cell r="K5" t="str">
            <v>X06-00</v>
          </cell>
        </row>
      </sheetData>
      <sheetData sheetId="3"/>
      <sheetData sheetId="4"/>
      <sheetData sheetId="5"/>
      <sheetData sheetId="6"/>
      <sheetData sheetId="7"/>
      <sheetData sheetId="8"/>
      <sheetData sheetId="9"/>
      <sheetData sheetId="10"/>
      <sheetData sheetId="11"/>
    </sheetDataSet>
  </externalBook>
</externalLink>
</file>

<file path=xl/externalLinks/externalLink30.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EV Project Schedule Rev.01"/>
      <sheetName val="Reliability Test"/>
      <sheetName val="Customer Spec"/>
      <sheetName val="Cell Design Change "/>
      <sheetName val="Process Change"/>
      <sheetName val="Action Log(Open issue)"/>
      <sheetName val="Action Log(Closed issue)"/>
      <sheetName val="Customer Feedback"/>
      <sheetName val="Customer audit"/>
      <sheetName val="Process control"/>
      <sheetName val="Key parameter-thinkness"/>
      <sheetName val="Fixture"/>
    </sheetNames>
    <sheetDataSet>
      <sheetData sheetId="0">
        <row r="9">
          <cell r="F9" t="str">
            <v>开始时间</v>
          </cell>
        </row>
        <row r="11">
          <cell r="F11">
            <v>39363</v>
          </cell>
        </row>
        <row r="13">
          <cell r="F13">
            <v>39363</v>
          </cell>
        </row>
        <row r="14">
          <cell r="F14">
            <v>39364</v>
          </cell>
        </row>
        <row r="15">
          <cell r="F15">
            <v>39364</v>
          </cell>
        </row>
        <row r="16">
          <cell r="F16">
            <v>39364</v>
          </cell>
        </row>
        <row r="17">
          <cell r="F17">
            <v>39364</v>
          </cell>
        </row>
        <row r="18">
          <cell r="F18">
            <v>39364</v>
          </cell>
        </row>
        <row r="19">
          <cell r="F19">
            <v>39365</v>
          </cell>
        </row>
        <row r="20">
          <cell r="F20">
            <v>39366</v>
          </cell>
        </row>
        <row r="21">
          <cell r="F21">
            <v>39367</v>
          </cell>
        </row>
        <row r="22">
          <cell r="F22">
            <v>39368</v>
          </cell>
        </row>
        <row r="23">
          <cell r="F23">
            <v>39368</v>
          </cell>
        </row>
        <row r="24">
          <cell r="F24">
            <v>39369</v>
          </cell>
        </row>
        <row r="25">
          <cell r="F25">
            <v>39369</v>
          </cell>
        </row>
        <row r="26">
          <cell r="F26">
            <v>39370</v>
          </cell>
        </row>
        <row r="27">
          <cell r="F27">
            <v>39370</v>
          </cell>
        </row>
        <row r="28">
          <cell r="F28">
            <v>39371</v>
          </cell>
        </row>
        <row r="29">
          <cell r="F29">
            <v>39371</v>
          </cell>
        </row>
        <row r="30">
          <cell r="F30">
            <v>39372</v>
          </cell>
        </row>
        <row r="31">
          <cell r="F31">
            <v>39372</v>
          </cell>
        </row>
        <row r="32">
          <cell r="F32">
            <v>39372</v>
          </cell>
        </row>
        <row r="33">
          <cell r="F33">
            <v>39372</v>
          </cell>
        </row>
        <row r="34">
          <cell r="F34">
            <v>39374</v>
          </cell>
        </row>
        <row r="35">
          <cell r="F35">
            <v>39375</v>
          </cell>
        </row>
        <row r="36">
          <cell r="F36">
            <v>39375</v>
          </cell>
        </row>
        <row r="37">
          <cell r="F37">
            <v>39376</v>
          </cell>
        </row>
        <row r="38">
          <cell r="F38">
            <v>39377</v>
          </cell>
        </row>
        <row r="39">
          <cell r="F39">
            <v>39377</v>
          </cell>
        </row>
        <row r="40">
          <cell r="F40">
            <v>39379</v>
          </cell>
        </row>
        <row r="41">
          <cell r="F41">
            <v>39380</v>
          </cell>
        </row>
        <row r="42">
          <cell r="F42">
            <v>39380</v>
          </cell>
        </row>
        <row r="43">
          <cell r="F43">
            <v>39381</v>
          </cell>
        </row>
        <row r="44">
          <cell r="F44">
            <v>39382</v>
          </cell>
        </row>
        <row r="45">
          <cell r="F45">
            <v>39386</v>
          </cell>
        </row>
        <row r="46">
          <cell r="F46">
            <v>39387</v>
          </cell>
        </row>
        <row r="47">
          <cell r="F47">
            <v>39391</v>
          </cell>
        </row>
        <row r="48">
          <cell r="F48">
            <v>39391</v>
          </cell>
        </row>
        <row r="49">
          <cell r="F49">
            <v>39404</v>
          </cell>
        </row>
        <row r="50">
          <cell r="F50">
            <v>39411</v>
          </cell>
        </row>
        <row r="51">
          <cell r="F51" t="str">
            <v>Plan</v>
          </cell>
        </row>
        <row r="52">
          <cell r="F52" t="str">
            <v>Plan</v>
          </cell>
        </row>
        <row r="53">
          <cell r="F53" t="str">
            <v>Plan</v>
          </cell>
        </row>
        <row r="54">
          <cell r="F54" t="str">
            <v>Plan</v>
          </cell>
        </row>
        <row r="55">
          <cell r="F55" t="str">
            <v>Plan</v>
          </cell>
        </row>
        <row r="56">
          <cell r="F56" t="str">
            <v>Plan</v>
          </cell>
        </row>
        <row r="60">
          <cell r="F60">
            <v>39382</v>
          </cell>
        </row>
        <row r="62">
          <cell r="F62">
            <v>39390</v>
          </cell>
        </row>
        <row r="63">
          <cell r="F63">
            <v>39390</v>
          </cell>
        </row>
        <row r="64">
          <cell r="F64">
            <v>39390</v>
          </cell>
        </row>
        <row r="65">
          <cell r="F65" t="str">
            <v>N.A</v>
          </cell>
        </row>
        <row r="66">
          <cell r="F66" t="str">
            <v>N.A</v>
          </cell>
        </row>
        <row r="67">
          <cell r="F67">
            <v>39390</v>
          </cell>
        </row>
        <row r="70">
          <cell r="F70">
            <v>39390</v>
          </cell>
        </row>
        <row r="71">
          <cell r="F71">
            <v>39390</v>
          </cell>
        </row>
        <row r="72">
          <cell r="F72">
            <v>39390</v>
          </cell>
        </row>
        <row r="73">
          <cell r="F73">
            <v>39390</v>
          </cell>
        </row>
        <row r="74">
          <cell r="F74">
            <v>39390</v>
          </cell>
        </row>
        <row r="78">
          <cell r="F78">
            <v>39390</v>
          </cell>
        </row>
        <row r="79">
          <cell r="F79">
            <v>39390</v>
          </cell>
        </row>
        <row r="80">
          <cell r="F80">
            <v>39390</v>
          </cell>
        </row>
        <row r="81">
          <cell r="F81">
            <v>39390</v>
          </cell>
        </row>
        <row r="82">
          <cell r="F82">
            <v>39390</v>
          </cell>
        </row>
        <row r="85">
          <cell r="F85">
            <v>39390</v>
          </cell>
        </row>
        <row r="86">
          <cell r="F86">
            <v>39390</v>
          </cell>
        </row>
        <row r="89">
          <cell r="F89" t="str">
            <v>Plan</v>
          </cell>
        </row>
        <row r="90">
          <cell r="F90" t="str">
            <v>Plan</v>
          </cell>
        </row>
        <row r="93">
          <cell r="F93" t="str">
            <v>L</v>
          </cell>
        </row>
        <row r="94">
          <cell r="F94" t="str">
            <v>L</v>
          </cell>
        </row>
        <row r="95">
          <cell r="F95" t="str">
            <v>S</v>
          </cell>
        </row>
        <row r="96">
          <cell r="F96" t="str">
            <v>L</v>
          </cell>
        </row>
        <row r="97">
          <cell r="F97" t="str">
            <v>L</v>
          </cell>
        </row>
        <row r="98">
          <cell r="F98">
            <v>39364</v>
          </cell>
        </row>
        <row r="99">
          <cell r="F99" t="str">
            <v>L</v>
          </cell>
        </row>
        <row r="100">
          <cell r="F100" t="str">
            <v>N.A</v>
          </cell>
        </row>
        <row r="101">
          <cell r="F101">
            <v>39364</v>
          </cell>
        </row>
        <row r="102">
          <cell r="F102" t="str">
            <v>N.A</v>
          </cell>
        </row>
        <row r="103">
          <cell r="F103" t="str">
            <v>L</v>
          </cell>
        </row>
        <row r="104">
          <cell r="F104">
            <v>39364</v>
          </cell>
        </row>
        <row r="105">
          <cell r="F105">
            <v>39370</v>
          </cell>
        </row>
        <row r="106">
          <cell r="F106" t="str">
            <v>L</v>
          </cell>
        </row>
        <row r="107">
          <cell r="F107">
            <v>39364</v>
          </cell>
        </row>
        <row r="108">
          <cell r="F108">
            <v>39364</v>
          </cell>
        </row>
        <row r="109">
          <cell r="F109">
            <v>39364</v>
          </cell>
        </row>
        <row r="110">
          <cell r="F110">
            <v>39364</v>
          </cell>
        </row>
        <row r="111">
          <cell r="F111" t="str">
            <v>L</v>
          </cell>
        </row>
        <row r="112">
          <cell r="F112" t="str">
            <v>L</v>
          </cell>
        </row>
        <row r="113">
          <cell r="F113">
            <v>39364</v>
          </cell>
        </row>
        <row r="114">
          <cell r="F114" t="str">
            <v>L</v>
          </cell>
        </row>
        <row r="115">
          <cell r="F115" t="str">
            <v>L</v>
          </cell>
        </row>
        <row r="116">
          <cell r="F116" t="str">
            <v>L</v>
          </cell>
        </row>
        <row r="117">
          <cell r="F117">
            <v>39364</v>
          </cell>
        </row>
        <row r="118">
          <cell r="F118">
            <v>39364</v>
          </cell>
        </row>
        <row r="119">
          <cell r="F119">
            <v>39364</v>
          </cell>
        </row>
        <row r="122">
          <cell r="F122" t="str">
            <v>Plan</v>
          </cell>
        </row>
        <row r="123">
          <cell r="F123" t="str">
            <v>Plan</v>
          </cell>
        </row>
        <row r="129">
          <cell r="F129">
            <v>39364</v>
          </cell>
        </row>
        <row r="130">
          <cell r="F130" t="str">
            <v>Plan</v>
          </cell>
        </row>
        <row r="131">
          <cell r="F131" t="str">
            <v>Plan</v>
          </cell>
        </row>
        <row r="132">
          <cell r="F132" t="str">
            <v>Plan</v>
          </cell>
        </row>
        <row r="133">
          <cell r="F133" t="str">
            <v>Plan</v>
          </cell>
        </row>
        <row r="134">
          <cell r="F134" t="str">
            <v>Plan</v>
          </cell>
        </row>
        <row r="135">
          <cell r="F135" t="str">
            <v>Plan</v>
          </cell>
        </row>
        <row r="136">
          <cell r="F136" t="str">
            <v>Plan</v>
          </cell>
        </row>
        <row r="137">
          <cell r="F137" t="str">
            <v>Plan</v>
          </cell>
        </row>
        <row r="138">
          <cell r="F138" t="str">
            <v>Plan</v>
          </cell>
        </row>
        <row r="139">
          <cell r="F139" t="str">
            <v>Plan</v>
          </cell>
        </row>
        <row r="140">
          <cell r="F140" t="str">
            <v>Plan</v>
          </cell>
        </row>
        <row r="141">
          <cell r="F141" t="str">
            <v>Plan</v>
          </cell>
        </row>
        <row r="142">
          <cell r="F142" t="str">
            <v>Plan</v>
          </cell>
        </row>
        <row r="143">
          <cell r="F143" t="str">
            <v>Plan</v>
          </cell>
        </row>
        <row r="144">
          <cell r="F144" t="str">
            <v>Plan</v>
          </cell>
        </row>
        <row r="145">
          <cell r="F145" t="str">
            <v>Plan</v>
          </cell>
        </row>
        <row r="146">
          <cell r="F146" t="str">
            <v>Plan</v>
          </cell>
        </row>
        <row r="147">
          <cell r="F147" t="str">
            <v>Plan</v>
          </cell>
        </row>
        <row r="148">
          <cell r="F148" t="str">
            <v>Plan</v>
          </cell>
        </row>
        <row r="149">
          <cell r="F149" t="str">
            <v>Plan</v>
          </cell>
        </row>
      </sheetData>
      <sheetData sheetId="1"/>
      <sheetData sheetId="2"/>
      <sheetData sheetId="3"/>
      <sheetData sheetId="4"/>
      <sheetData sheetId="5"/>
      <sheetData sheetId="6"/>
      <sheetData sheetId="7"/>
      <sheetData sheetId="8"/>
      <sheetData sheetId="9"/>
      <sheetData sheetId="10"/>
      <sheetData sheetId="11"/>
    </sheetDataSet>
  </externalBook>
</externalLink>
</file>

<file path=xl/externalLinks/externalLink3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Portion"/>
      <sheetName val="Portion-detail"/>
      <sheetName val="1"/>
      <sheetName val="2"/>
      <sheetName val="3"/>
      <sheetName val="4"/>
      <sheetName val="5"/>
      <sheetName val="6"/>
      <sheetName val="7"/>
      <sheetName val="A1 Approach"/>
      <sheetName val="A1 Lease Asset 1"/>
      <sheetName val="A1 Collection 1"/>
      <sheetName val="Data"/>
      <sheetName val="3-1"/>
      <sheetName val="3-2"/>
      <sheetName val="3-3"/>
      <sheetName val="A5-1 Other_Receivables"/>
      <sheetName val="A5-2 Other Asset"/>
      <sheetName val="A5-3 Installment (overseas)"/>
      <sheetName val="A5-4 Overseas Installment"/>
      <sheetName val="A10-1 Continuing Business"/>
      <sheetName val="A10-2 Real Estate"/>
      <sheetName val="A1-4 Failure Impact "/>
      <sheetName val="A1-1 Lease Asset"/>
      <sheetName val="A1-2 Lease Receivable"/>
      <sheetName val="A2-1 Business Related Loans"/>
      <sheetName val="A2-2 Non-performing Loans"/>
      <sheetName val="A1-3 Collection speed"/>
      <sheetName val="A3-1 Securities"/>
      <sheetName val="A3-2 Investment in Securities"/>
      <sheetName val="A4-1 Affiliates"/>
      <sheetName val="A4-2 Value of Affiliates"/>
      <sheetName val="A4-3 Affiliates (Oversea)"/>
      <sheetName val="(1)Oversea"/>
      <sheetName val="A4-4 JL U.K.&amp; Europe"/>
      <sheetName val="A6 Creditors List"/>
      <sheetName val="A7-1 ABS Structure (Jupiter)"/>
      <sheetName val="A7-2 ABS Structure (Total)"/>
      <sheetName val="A7 ABS"/>
      <sheetName val="A7-3 Default"/>
      <sheetName val="A7-4 ABS BV Est.1"/>
      <sheetName val="A7-5 ABS BV Est.2"/>
      <sheetName val="A7-5 Estimated residual Value"/>
      <sheetName val="A7-5 ABS VB (Mar-98)"/>
      <sheetName val="A7-8 Jupiter"/>
      <sheetName val="A8-1 Collateral Conversion"/>
      <sheetName val="A8-2 Collateral Release"/>
      <sheetName val="A9-1 Lease Industry 1"/>
      <sheetName val="A9-2 Lease Industry 2"/>
      <sheetName val="A9-3 Lease Industry 3"/>
      <sheetName val="Updown"/>
      <sheetName val="0"/>
      <sheetName val="!"/>
      <sheetName val="DEF"/>
      <sheetName val=""/>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 sheetId="30"/>
      <sheetData sheetId="31"/>
      <sheetData sheetId="32"/>
      <sheetData sheetId="33"/>
      <sheetData sheetId="34"/>
      <sheetData sheetId="35"/>
      <sheetData sheetId="36"/>
      <sheetData sheetId="37"/>
      <sheetData sheetId="38"/>
      <sheetData sheetId="39"/>
      <sheetData sheetId="40"/>
      <sheetData sheetId="41"/>
      <sheetData sheetId="42"/>
      <sheetData sheetId="43"/>
      <sheetData sheetId="44"/>
      <sheetData sheetId="45"/>
      <sheetData sheetId="46"/>
      <sheetData sheetId="47"/>
      <sheetData sheetId="48"/>
      <sheetData sheetId="49"/>
      <sheetData sheetId="50"/>
      <sheetData sheetId="51"/>
      <sheetData sheetId="52"/>
      <sheetData sheetId="53" refreshError="1"/>
      <sheetData sheetId="54"/>
    </sheetDataSet>
  </externalBook>
</externalLink>
</file>

<file path=xl/externalLinks/externalLink3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COVER"/>
      <sheetName val="AFCO"/>
      <sheetName val="CHCK"/>
      <sheetName val="P1-BS"/>
      <sheetName val="P2-PL"/>
      <sheetName val="P3-SS"/>
      <sheetName val="P4-AR"/>
      <sheetName val="P5-AP"/>
      <sheetName val="P6-TR"/>
      <sheetName val="P7-DT1"/>
      <sheetName val="P8-DT2"/>
      <sheetName val="P9-DT3"/>
      <sheetName val="P10-DT4"/>
      <sheetName val="P11-DT5"/>
      <sheetName val="P12-DT6"/>
      <sheetName val="P13-DT7"/>
      <sheetName val="P14-DT8"/>
      <sheetName val="P15-DT9"/>
      <sheetName val="P16-FS1"/>
      <sheetName val="P17-FS2"/>
      <sheetName val="P18-FS3"/>
      <sheetName val="P19-FS4"/>
      <sheetName val="P20-FS5"/>
      <sheetName val="P21-FS6"/>
      <sheetName val="P22-FS7"/>
      <sheetName val="P23-FS8"/>
      <sheetName val="P24-FS9"/>
      <sheetName val="P25-TE"/>
      <sheetName val="P26-SEG1"/>
      <sheetName val="P27-APP1"/>
      <sheetName val="P28-APP2"/>
      <sheetName val="DEF"/>
      <sheetName val="TABLE"/>
      <sheetName val="Segment"/>
      <sheetName val="SMAEU-3"/>
    </sheetNames>
    <sheetDataSet>
      <sheetData sheetId="0" refreshError="1"/>
      <sheetData sheetId="1" refreshError="1"/>
      <sheetData sheetId="2" refreshError="1"/>
      <sheetData sheetId="3" refreshError="1"/>
      <sheetData sheetId="4" refreshError="1"/>
      <sheetData sheetId="5"/>
      <sheetData sheetId="6"/>
      <sheetData sheetId="7"/>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row r="2">
          <cell r="C2">
            <v>37346</v>
          </cell>
        </row>
      </sheetData>
      <sheetData sheetId="32" refreshError="1"/>
      <sheetData sheetId="33" refreshError="1"/>
      <sheetData sheetId="34" refreshError="1"/>
    </sheetDataSet>
  </externalBook>
</externalLink>
</file>

<file path=xl/externalLinks/externalLink3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使用要領"/>
      <sheetName val="A_H"/>
      <sheetName val="B_H2"/>
      <sheetName val="B_H3"/>
      <sheetName val="C_H2"/>
      <sheetName val="C_H3"/>
      <sheetName val="D_H1"/>
      <sheetName val="D_H2"/>
      <sheetName val="E_H"/>
      <sheetName val="F_H"/>
      <sheetName val="J_H"/>
      <sheetName val="K_H"/>
      <sheetName val="L_H"/>
      <sheetName val="M_H"/>
      <sheetName val="O_H"/>
      <sheetName val="P_H"/>
      <sheetName val="Q_H"/>
      <sheetName val="R_H1"/>
      <sheetName val="R_H2"/>
      <sheetName val="R_H3"/>
      <sheetName val="R_H4"/>
      <sheetName val="S_H"/>
      <sheetName val="T_H1"/>
      <sheetName val="T_H2"/>
      <sheetName val="V_H"/>
      <sheetName val="W_H"/>
      <sheetName val="X_H"/>
      <sheetName val="Y_H"/>
      <sheetName val="ADJ_H"/>
      <sheetName val="1_H"/>
      <sheetName val="A_S"/>
      <sheetName val="B_S"/>
      <sheetName val="C_S"/>
      <sheetName val="D_S"/>
      <sheetName val="E_S"/>
      <sheetName val="F_S"/>
      <sheetName val="H_S"/>
      <sheetName val="J_S"/>
      <sheetName val="L_S"/>
      <sheetName val="M_S"/>
      <sheetName val="N_S"/>
      <sheetName val="O_S"/>
      <sheetName val="R_S"/>
      <sheetName val="T_S"/>
      <sheetName val="U_S"/>
      <sheetName val="X_S"/>
      <sheetName val="Z_S"/>
      <sheetName val="ADJ_S"/>
      <sheetName val="1_S"/>
      <sheetName val="A３新収益"/>
      <sheetName val="模组工段"/>
      <sheetName val="DEF"/>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sheetData sheetId="22"/>
      <sheetData sheetId="23"/>
      <sheetData sheetId="24"/>
      <sheetData sheetId="25"/>
      <sheetData sheetId="26"/>
      <sheetData sheetId="27"/>
      <sheetData sheetId="28" refreshError="1"/>
      <sheetData sheetId="29" refreshError="1"/>
      <sheetData sheetId="30" refreshError="1"/>
      <sheetData sheetId="31" refreshError="1"/>
      <sheetData sheetId="32" refreshError="1"/>
      <sheetData sheetId="33" refreshError="1"/>
      <sheetData sheetId="34" refreshError="1"/>
      <sheetData sheetId="35" refreshError="1"/>
      <sheetData sheetId="36" refreshError="1"/>
      <sheetData sheetId="37" refreshError="1"/>
      <sheetData sheetId="38" refreshError="1"/>
      <sheetData sheetId="39" refreshError="1"/>
      <sheetData sheetId="40" refreshError="1"/>
      <sheetData sheetId="41" refreshError="1"/>
      <sheetData sheetId="42" refreshError="1"/>
      <sheetData sheetId="43" refreshError="1"/>
      <sheetData sheetId="44" refreshError="1"/>
      <sheetData sheetId="45" refreshError="1"/>
      <sheetData sheetId="46" refreshError="1"/>
      <sheetData sheetId="47" refreshError="1"/>
      <sheetData sheetId="48" refreshError="1"/>
      <sheetData sheetId="49" refreshError="1"/>
      <sheetData sheetId="50" refreshError="1"/>
      <sheetData sheetId="51" refreshError="1"/>
    </sheetDataSet>
  </externalBook>
</externalLink>
</file>

<file path=xl/externalLinks/externalLink3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７４期定年到達者"/>
      <sheetName val="70人員"/>
      <sheetName val="71人員"/>
      <sheetName val="72人員"/>
      <sheetName val="73人員"/>
      <sheetName val="74人員"/>
      <sheetName val="Sheet1"/>
      <sheetName val="S_H"/>
      <sheetName val="Y_H"/>
    </sheetNames>
    <sheetDataSet>
      <sheetData sheetId="0" refreshError="1"/>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3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個別貸引"/>
      <sheetName val="売却候補（浅野）"/>
      <sheetName val="売却（支店）"/>
      <sheetName val="売却×"/>
      <sheetName val="少額弁済ペンディング"/>
      <sheetName val="売却しない（支店）"/>
      <sheetName val="DEF"/>
      <sheetName val="model"/>
      <sheetName val="S_H"/>
      <sheetName val="Y_H"/>
      <sheetName val="７４期定年到達者"/>
    </sheetNames>
    <sheetDataSet>
      <sheetData sheetId="0" refreshError="1">
        <row r="1">
          <cell r="C1" t="str">
            <v>融資先番号</v>
          </cell>
          <cell r="D1" t="str">
            <v>債務者名</v>
          </cell>
          <cell r="E1" t="str">
            <v>期末総残高</v>
          </cell>
          <cell r="F1" t="str">
            <v>有税期末残高</v>
          </cell>
          <cell r="G1" t="str">
            <v>無税期末残高</v>
          </cell>
          <cell r="H1" t="str">
            <v>貸引合計</v>
          </cell>
          <cell r="I1" t="str">
            <v>債務者区分ｺｰﾄﾞ</v>
          </cell>
        </row>
        <row r="2">
          <cell r="C2">
            <v>600010611</v>
          </cell>
          <cell r="D2" t="str">
            <v>株・西沢　　　　　　</v>
          </cell>
          <cell r="E2">
            <v>2898000000</v>
          </cell>
          <cell r="F2">
            <v>1997000000</v>
          </cell>
          <cell r="G2">
            <v>0</v>
          </cell>
          <cell r="H2">
            <v>1997000000</v>
          </cell>
          <cell r="I2">
            <v>4</v>
          </cell>
        </row>
        <row r="3">
          <cell r="C3">
            <v>600015661</v>
          </cell>
          <cell r="D3" t="str">
            <v>東信観光開発・株　　</v>
          </cell>
          <cell r="E3">
            <v>131520000</v>
          </cell>
          <cell r="F3">
            <v>24000000</v>
          </cell>
          <cell r="G3">
            <v>0</v>
          </cell>
          <cell r="H3">
            <v>24000000</v>
          </cell>
          <cell r="I3">
            <v>3</v>
          </cell>
        </row>
        <row r="4">
          <cell r="C4">
            <v>600029567</v>
          </cell>
          <cell r="D4" t="str">
            <v>株・長野そごう　　　</v>
          </cell>
          <cell r="E4">
            <v>3781481335</v>
          </cell>
          <cell r="F4">
            <v>990232683</v>
          </cell>
          <cell r="G4">
            <v>990232682</v>
          </cell>
          <cell r="H4">
            <v>1980465365</v>
          </cell>
          <cell r="I4">
            <v>5</v>
          </cell>
        </row>
        <row r="5">
          <cell r="C5">
            <v>600041378</v>
          </cell>
          <cell r="D5" t="str">
            <v>株・長野ホテル犀北館</v>
          </cell>
          <cell r="E5">
            <v>2215520000</v>
          </cell>
          <cell r="F5">
            <v>1359000000</v>
          </cell>
          <cell r="G5">
            <v>0</v>
          </cell>
          <cell r="H5">
            <v>1359000000</v>
          </cell>
          <cell r="I5">
            <v>3</v>
          </cell>
        </row>
        <row r="6">
          <cell r="C6">
            <v>600069594</v>
          </cell>
          <cell r="D6" t="str">
            <v>株・藤嘉　　　　　　</v>
          </cell>
          <cell r="E6">
            <v>126700000</v>
          </cell>
          <cell r="F6">
            <v>27000000</v>
          </cell>
          <cell r="G6">
            <v>0</v>
          </cell>
          <cell r="H6">
            <v>27000000</v>
          </cell>
          <cell r="I6">
            <v>4</v>
          </cell>
        </row>
        <row r="7">
          <cell r="C7">
            <v>600097423</v>
          </cell>
          <cell r="D7" t="str">
            <v>株・長野セントラルホ</v>
          </cell>
          <cell r="E7">
            <v>420825000</v>
          </cell>
          <cell r="F7">
            <v>81000000</v>
          </cell>
          <cell r="G7">
            <v>0</v>
          </cell>
          <cell r="H7">
            <v>81000000</v>
          </cell>
          <cell r="I7">
            <v>3</v>
          </cell>
        </row>
        <row r="8">
          <cell r="C8">
            <v>600108929</v>
          </cell>
          <cell r="D8" t="str">
            <v>昭和電機産業・株　　</v>
          </cell>
          <cell r="E8">
            <v>1168156000</v>
          </cell>
          <cell r="F8">
            <v>0</v>
          </cell>
          <cell r="G8">
            <v>364670000</v>
          </cell>
          <cell r="H8">
            <v>364670000</v>
          </cell>
          <cell r="I8">
            <v>5</v>
          </cell>
        </row>
        <row r="9">
          <cell r="C9">
            <v>600109155</v>
          </cell>
          <cell r="D9" t="str">
            <v>株・長野国際会館　　</v>
          </cell>
          <cell r="E9">
            <v>5085435756</v>
          </cell>
          <cell r="F9">
            <v>3075000000</v>
          </cell>
          <cell r="G9">
            <v>0</v>
          </cell>
          <cell r="H9">
            <v>3075000000</v>
          </cell>
          <cell r="I9">
            <v>3</v>
          </cell>
        </row>
        <row r="10">
          <cell r="C10">
            <v>600132676</v>
          </cell>
          <cell r="D10" t="str">
            <v>渡茂建設・株　　　　</v>
          </cell>
          <cell r="E10">
            <v>198800000</v>
          </cell>
          <cell r="F10">
            <v>46000000</v>
          </cell>
          <cell r="G10">
            <v>0</v>
          </cell>
          <cell r="H10">
            <v>46000000</v>
          </cell>
          <cell r="I10">
            <v>3</v>
          </cell>
        </row>
        <row r="11">
          <cell r="C11">
            <v>600201738</v>
          </cell>
          <cell r="D11" t="str">
            <v>株・アイビ－ジャパン</v>
          </cell>
          <cell r="E11">
            <v>139395579</v>
          </cell>
          <cell r="F11">
            <v>79000000</v>
          </cell>
          <cell r="G11">
            <v>0</v>
          </cell>
          <cell r="H11">
            <v>79000000</v>
          </cell>
          <cell r="I11">
            <v>4</v>
          </cell>
        </row>
        <row r="12">
          <cell r="C12">
            <v>600041421</v>
          </cell>
          <cell r="D12" t="str">
            <v>株・つづきや　　　　</v>
          </cell>
          <cell r="E12">
            <v>122924500</v>
          </cell>
          <cell r="F12">
            <v>32000000</v>
          </cell>
          <cell r="G12">
            <v>0</v>
          </cell>
          <cell r="H12">
            <v>32000000</v>
          </cell>
          <cell r="I12">
            <v>3</v>
          </cell>
        </row>
        <row r="13">
          <cell r="C13">
            <v>600042744</v>
          </cell>
          <cell r="D13" t="str">
            <v>有・宮原書店　　　　</v>
          </cell>
          <cell r="E13">
            <v>59080000</v>
          </cell>
          <cell r="F13">
            <v>19000000</v>
          </cell>
          <cell r="G13">
            <v>0</v>
          </cell>
          <cell r="H13">
            <v>19000000</v>
          </cell>
          <cell r="I13">
            <v>3</v>
          </cell>
        </row>
        <row r="14">
          <cell r="C14">
            <v>600042928</v>
          </cell>
          <cell r="D14" t="str">
            <v>丸山　一夫　　　　　</v>
          </cell>
          <cell r="E14">
            <v>0</v>
          </cell>
          <cell r="F14">
            <v>0</v>
          </cell>
          <cell r="G14">
            <v>0</v>
          </cell>
          <cell r="H14">
            <v>0</v>
          </cell>
          <cell r="I14">
            <v>4</v>
          </cell>
        </row>
        <row r="15">
          <cell r="C15">
            <v>600044139</v>
          </cell>
          <cell r="D15" t="str">
            <v>株・ウツミエンジニア</v>
          </cell>
          <cell r="E15">
            <v>243402364</v>
          </cell>
          <cell r="F15">
            <v>120332132</v>
          </cell>
          <cell r="G15">
            <v>113131132</v>
          </cell>
          <cell r="H15">
            <v>233463264</v>
          </cell>
          <cell r="I15">
            <v>5</v>
          </cell>
        </row>
        <row r="16">
          <cell r="C16">
            <v>600044162</v>
          </cell>
          <cell r="D16" t="str">
            <v>信濃企業・株　　　　</v>
          </cell>
          <cell r="E16">
            <v>75527529</v>
          </cell>
          <cell r="F16">
            <v>41809265</v>
          </cell>
          <cell r="G16">
            <v>26052264</v>
          </cell>
          <cell r="H16">
            <v>67861529</v>
          </cell>
          <cell r="I16">
            <v>5</v>
          </cell>
        </row>
        <row r="17">
          <cell r="C17">
            <v>600046839</v>
          </cell>
          <cell r="D17" t="str">
            <v>有・ホテル臼井館　　</v>
          </cell>
          <cell r="E17">
            <v>186477919</v>
          </cell>
          <cell r="F17">
            <v>44000000</v>
          </cell>
          <cell r="G17">
            <v>0</v>
          </cell>
          <cell r="H17">
            <v>44000000</v>
          </cell>
          <cell r="I17">
            <v>3</v>
          </cell>
        </row>
        <row r="18">
          <cell r="C18">
            <v>600048148</v>
          </cell>
          <cell r="D18" t="str">
            <v>網谷　壽一　　　　　</v>
          </cell>
          <cell r="E18">
            <v>61491060</v>
          </cell>
          <cell r="F18">
            <v>27000000</v>
          </cell>
          <cell r="G18">
            <v>0</v>
          </cell>
          <cell r="H18">
            <v>27000000</v>
          </cell>
          <cell r="I18">
            <v>4</v>
          </cell>
        </row>
        <row r="19">
          <cell r="C19">
            <v>600200873</v>
          </cell>
          <cell r="D19" t="str">
            <v>株・渡辺時計店　　　</v>
          </cell>
          <cell r="E19">
            <v>45790813</v>
          </cell>
          <cell r="F19">
            <v>18000000</v>
          </cell>
          <cell r="G19">
            <v>0</v>
          </cell>
          <cell r="H19">
            <v>18000000</v>
          </cell>
          <cell r="I19">
            <v>3</v>
          </cell>
        </row>
        <row r="20">
          <cell r="C20">
            <v>600201727</v>
          </cell>
          <cell r="D20" t="str">
            <v>有・小柳商店　　　　</v>
          </cell>
          <cell r="E20">
            <v>0</v>
          </cell>
          <cell r="F20">
            <v>0</v>
          </cell>
          <cell r="G20">
            <v>0</v>
          </cell>
          <cell r="H20">
            <v>0</v>
          </cell>
          <cell r="I20">
            <v>4</v>
          </cell>
        </row>
        <row r="21">
          <cell r="C21">
            <v>600202899</v>
          </cell>
          <cell r="D21" t="str">
            <v>有・光扇商事　　　　</v>
          </cell>
          <cell r="E21">
            <v>287106449</v>
          </cell>
          <cell r="F21">
            <v>282000000</v>
          </cell>
          <cell r="G21">
            <v>0</v>
          </cell>
          <cell r="H21">
            <v>282000000</v>
          </cell>
          <cell r="I21">
            <v>4</v>
          </cell>
        </row>
        <row r="22">
          <cell r="C22">
            <v>602031289</v>
          </cell>
          <cell r="D22" t="str">
            <v>松井　千尋　　　　　</v>
          </cell>
          <cell r="E22">
            <v>5502538</v>
          </cell>
          <cell r="F22">
            <v>5000000</v>
          </cell>
          <cell r="G22">
            <v>0</v>
          </cell>
          <cell r="H22">
            <v>5000000</v>
          </cell>
          <cell r="I22">
            <v>4</v>
          </cell>
        </row>
        <row r="23">
          <cell r="C23">
            <v>602176530</v>
          </cell>
          <cell r="D23" t="str">
            <v>有・マイカ－ショップ</v>
          </cell>
          <cell r="E23">
            <v>0</v>
          </cell>
          <cell r="F23">
            <v>0</v>
          </cell>
          <cell r="G23">
            <v>0</v>
          </cell>
          <cell r="H23">
            <v>0</v>
          </cell>
          <cell r="I23">
            <v>4</v>
          </cell>
        </row>
        <row r="24">
          <cell r="C24">
            <v>602314885</v>
          </cell>
          <cell r="D24" t="str">
            <v>池田　茂　　　　　　</v>
          </cell>
          <cell r="E24">
            <v>0</v>
          </cell>
          <cell r="F24">
            <v>0</v>
          </cell>
          <cell r="G24">
            <v>0</v>
          </cell>
          <cell r="H24">
            <v>0</v>
          </cell>
          <cell r="I24">
            <v>4</v>
          </cell>
        </row>
        <row r="25">
          <cell r="C25">
            <v>600073945</v>
          </cell>
          <cell r="D25" t="str">
            <v>株・喜多の園　　　　</v>
          </cell>
          <cell r="E25">
            <v>158095000</v>
          </cell>
          <cell r="F25">
            <v>28000000</v>
          </cell>
          <cell r="G25">
            <v>0</v>
          </cell>
          <cell r="H25">
            <v>28000000</v>
          </cell>
          <cell r="I25">
            <v>3</v>
          </cell>
        </row>
        <row r="26">
          <cell r="C26">
            <v>600076511</v>
          </cell>
          <cell r="D26" t="str">
            <v>有・糸長本店　　　　</v>
          </cell>
          <cell r="E26">
            <v>40020178</v>
          </cell>
          <cell r="F26">
            <v>6000000</v>
          </cell>
          <cell r="G26">
            <v>0</v>
          </cell>
          <cell r="H26">
            <v>6000000</v>
          </cell>
          <cell r="I26">
            <v>3</v>
          </cell>
        </row>
        <row r="27">
          <cell r="C27">
            <v>600077758</v>
          </cell>
          <cell r="D27" t="str">
            <v>米澤　敬吾　　　　　</v>
          </cell>
          <cell r="E27">
            <v>2065000</v>
          </cell>
          <cell r="F27">
            <v>2000000</v>
          </cell>
          <cell r="G27">
            <v>0</v>
          </cell>
          <cell r="H27">
            <v>2000000</v>
          </cell>
          <cell r="I27">
            <v>3</v>
          </cell>
        </row>
        <row r="28">
          <cell r="C28">
            <v>600083756</v>
          </cell>
          <cell r="D28" t="str">
            <v>増田　昌城　　　　　</v>
          </cell>
          <cell r="E28">
            <v>89650841</v>
          </cell>
          <cell r="F28">
            <v>10000000</v>
          </cell>
          <cell r="G28">
            <v>0</v>
          </cell>
          <cell r="H28">
            <v>10000000</v>
          </cell>
          <cell r="I28">
            <v>4</v>
          </cell>
        </row>
        <row r="29">
          <cell r="C29">
            <v>601659847</v>
          </cell>
          <cell r="D29" t="str">
            <v>奥田　清治　　　　　</v>
          </cell>
          <cell r="E29">
            <v>4320986</v>
          </cell>
          <cell r="F29">
            <v>1000000</v>
          </cell>
          <cell r="G29">
            <v>0</v>
          </cell>
          <cell r="H29">
            <v>1000000</v>
          </cell>
          <cell r="I29">
            <v>3</v>
          </cell>
        </row>
        <row r="30">
          <cell r="C30">
            <v>601928472</v>
          </cell>
          <cell r="D30" t="str">
            <v>相沢　満　　　　　　</v>
          </cell>
          <cell r="E30">
            <v>8736337</v>
          </cell>
          <cell r="F30">
            <v>0</v>
          </cell>
          <cell r="G30">
            <v>0</v>
          </cell>
          <cell r="H30">
            <v>0</v>
          </cell>
          <cell r="I30">
            <v>4</v>
          </cell>
        </row>
        <row r="31">
          <cell r="C31">
            <v>600079469</v>
          </cell>
          <cell r="D31" t="str">
            <v>株・江島屋　　　　　</v>
          </cell>
          <cell r="E31">
            <v>128450000</v>
          </cell>
          <cell r="F31">
            <v>78000000</v>
          </cell>
          <cell r="G31">
            <v>0</v>
          </cell>
          <cell r="H31">
            <v>78000000</v>
          </cell>
          <cell r="I31">
            <v>4</v>
          </cell>
        </row>
        <row r="32">
          <cell r="C32">
            <v>600079838</v>
          </cell>
          <cell r="D32" t="str">
            <v>酒本建設・株　　　　</v>
          </cell>
          <cell r="E32">
            <v>332592142</v>
          </cell>
          <cell r="F32">
            <v>152807576</v>
          </cell>
          <cell r="G32">
            <v>152807575</v>
          </cell>
          <cell r="H32">
            <v>305615151</v>
          </cell>
          <cell r="I32">
            <v>5</v>
          </cell>
        </row>
        <row r="33">
          <cell r="C33">
            <v>600080244</v>
          </cell>
          <cell r="D33" t="str">
            <v>株・トーチク　　　　</v>
          </cell>
          <cell r="E33">
            <v>68988000</v>
          </cell>
          <cell r="F33">
            <v>1000000</v>
          </cell>
          <cell r="G33">
            <v>0</v>
          </cell>
          <cell r="H33">
            <v>1000000</v>
          </cell>
          <cell r="I33">
            <v>3</v>
          </cell>
        </row>
        <row r="34">
          <cell r="C34">
            <v>600082282</v>
          </cell>
          <cell r="D34" t="str">
            <v>ロイアル・アルコ・有</v>
          </cell>
          <cell r="E34">
            <v>176017000</v>
          </cell>
          <cell r="F34">
            <v>22000000</v>
          </cell>
          <cell r="G34">
            <v>0</v>
          </cell>
          <cell r="H34">
            <v>22000000</v>
          </cell>
          <cell r="I34">
            <v>3</v>
          </cell>
        </row>
        <row r="35">
          <cell r="C35">
            <v>600082824</v>
          </cell>
          <cell r="D35" t="str">
            <v>株・甲州屋　　　　　</v>
          </cell>
          <cell r="E35">
            <v>0</v>
          </cell>
          <cell r="F35">
            <v>0</v>
          </cell>
          <cell r="G35">
            <v>0</v>
          </cell>
          <cell r="H35">
            <v>0</v>
          </cell>
          <cell r="I35">
            <v>5</v>
          </cell>
        </row>
        <row r="36">
          <cell r="C36">
            <v>600084199</v>
          </cell>
          <cell r="D36" t="str">
            <v>八島　毅　　　　　　</v>
          </cell>
          <cell r="E36">
            <v>20946000</v>
          </cell>
          <cell r="F36">
            <v>11000000</v>
          </cell>
          <cell r="G36">
            <v>0</v>
          </cell>
          <cell r="H36">
            <v>11000000</v>
          </cell>
          <cell r="I36">
            <v>4</v>
          </cell>
        </row>
        <row r="37">
          <cell r="C37">
            <v>600085803</v>
          </cell>
          <cell r="D37" t="str">
            <v>株・野口組　　　　　</v>
          </cell>
          <cell r="E37">
            <v>22390000</v>
          </cell>
          <cell r="F37">
            <v>8000000</v>
          </cell>
          <cell r="G37">
            <v>0</v>
          </cell>
          <cell r="H37">
            <v>8000000</v>
          </cell>
          <cell r="I37">
            <v>4</v>
          </cell>
        </row>
        <row r="38">
          <cell r="C38">
            <v>600089172</v>
          </cell>
          <cell r="D38" t="str">
            <v>河合電気工業・株　　</v>
          </cell>
          <cell r="E38">
            <v>0</v>
          </cell>
          <cell r="F38">
            <v>0</v>
          </cell>
          <cell r="G38">
            <v>0</v>
          </cell>
          <cell r="H38">
            <v>0</v>
          </cell>
          <cell r="I38">
            <v>4</v>
          </cell>
        </row>
        <row r="39">
          <cell r="C39">
            <v>600090011</v>
          </cell>
          <cell r="D39" t="str">
            <v>株・カワモト　　　　</v>
          </cell>
          <cell r="E39">
            <v>375215000</v>
          </cell>
          <cell r="F39">
            <v>122000000</v>
          </cell>
          <cell r="G39">
            <v>0</v>
          </cell>
          <cell r="H39">
            <v>122000000</v>
          </cell>
          <cell r="I39">
            <v>3</v>
          </cell>
        </row>
        <row r="40">
          <cell r="C40">
            <v>600090326</v>
          </cell>
          <cell r="D40" t="str">
            <v>協同情報サービス・株</v>
          </cell>
          <cell r="E40">
            <v>0</v>
          </cell>
          <cell r="F40">
            <v>0</v>
          </cell>
          <cell r="G40">
            <v>0</v>
          </cell>
          <cell r="H40">
            <v>0</v>
          </cell>
          <cell r="I40">
            <v>4</v>
          </cell>
        </row>
        <row r="41">
          <cell r="C41">
            <v>600091389</v>
          </cell>
          <cell r="D41" t="str">
            <v>荻野　巳人　　　　　</v>
          </cell>
          <cell r="E41">
            <v>33086747</v>
          </cell>
          <cell r="F41">
            <v>7000000</v>
          </cell>
          <cell r="G41">
            <v>0</v>
          </cell>
          <cell r="H41">
            <v>7000000</v>
          </cell>
          <cell r="I41">
            <v>3</v>
          </cell>
        </row>
        <row r="42">
          <cell r="C42">
            <v>600091770</v>
          </cell>
          <cell r="D42" t="str">
            <v>清水種苗・株　　　　</v>
          </cell>
          <cell r="E42">
            <v>152800000</v>
          </cell>
          <cell r="F42">
            <v>33000000</v>
          </cell>
          <cell r="G42">
            <v>0</v>
          </cell>
          <cell r="H42">
            <v>33000000</v>
          </cell>
          <cell r="I42">
            <v>3</v>
          </cell>
        </row>
        <row r="43">
          <cell r="C43">
            <v>600114547</v>
          </cell>
          <cell r="D43" t="str">
            <v>水内　洋一　　　　　</v>
          </cell>
          <cell r="E43">
            <v>3862956</v>
          </cell>
          <cell r="F43">
            <v>0</v>
          </cell>
          <cell r="G43">
            <v>0</v>
          </cell>
          <cell r="H43">
            <v>0</v>
          </cell>
          <cell r="I43">
            <v>3</v>
          </cell>
        </row>
        <row r="44">
          <cell r="C44">
            <v>600194470</v>
          </cell>
          <cell r="D44" t="str">
            <v>有・井出製菓　　　　</v>
          </cell>
          <cell r="E44">
            <v>33500000</v>
          </cell>
          <cell r="F44">
            <v>1000000</v>
          </cell>
          <cell r="G44">
            <v>0</v>
          </cell>
          <cell r="H44">
            <v>1000000</v>
          </cell>
          <cell r="I44">
            <v>3</v>
          </cell>
        </row>
        <row r="45">
          <cell r="C45">
            <v>600194730</v>
          </cell>
          <cell r="D45" t="str">
            <v>株・スエヒロ建設　　</v>
          </cell>
          <cell r="E45">
            <v>15000000</v>
          </cell>
          <cell r="F45">
            <v>10000000</v>
          </cell>
          <cell r="G45">
            <v>0</v>
          </cell>
          <cell r="H45">
            <v>10000000</v>
          </cell>
          <cell r="I45">
            <v>3</v>
          </cell>
        </row>
        <row r="46">
          <cell r="C46">
            <v>600194827</v>
          </cell>
          <cell r="D46" t="str">
            <v>ダイワ総業・株　　　</v>
          </cell>
          <cell r="E46">
            <v>14995792</v>
          </cell>
          <cell r="F46">
            <v>4000000</v>
          </cell>
          <cell r="G46">
            <v>0</v>
          </cell>
          <cell r="H46">
            <v>4000000</v>
          </cell>
          <cell r="I46">
            <v>3</v>
          </cell>
        </row>
        <row r="47">
          <cell r="C47">
            <v>600195008</v>
          </cell>
          <cell r="D47" t="str">
            <v>長野ファルマー・有　</v>
          </cell>
          <cell r="E47">
            <v>12955847</v>
          </cell>
          <cell r="F47">
            <v>1000000</v>
          </cell>
          <cell r="G47">
            <v>0</v>
          </cell>
          <cell r="H47">
            <v>1000000</v>
          </cell>
          <cell r="I47">
            <v>3</v>
          </cell>
        </row>
        <row r="48">
          <cell r="C48">
            <v>601860662</v>
          </cell>
          <cell r="D48" t="str">
            <v>井出　忠吉　　　　　</v>
          </cell>
          <cell r="E48">
            <v>26064516</v>
          </cell>
          <cell r="F48">
            <v>7000000</v>
          </cell>
          <cell r="G48">
            <v>0</v>
          </cell>
          <cell r="H48">
            <v>7000000</v>
          </cell>
          <cell r="I48">
            <v>3</v>
          </cell>
        </row>
        <row r="49">
          <cell r="C49">
            <v>602805478</v>
          </cell>
          <cell r="D49" t="str">
            <v>医療法人草薙歯科医院</v>
          </cell>
          <cell r="E49">
            <v>17216596</v>
          </cell>
          <cell r="F49">
            <v>9000000</v>
          </cell>
          <cell r="G49">
            <v>0</v>
          </cell>
          <cell r="H49">
            <v>9000000</v>
          </cell>
          <cell r="I49">
            <v>3</v>
          </cell>
        </row>
        <row r="50">
          <cell r="C50">
            <v>602865256</v>
          </cell>
          <cell r="D50" t="str">
            <v>土屋工業・株　　　　</v>
          </cell>
          <cell r="E50">
            <v>33425000</v>
          </cell>
          <cell r="F50">
            <v>4000000</v>
          </cell>
          <cell r="G50">
            <v>0</v>
          </cell>
          <cell r="H50">
            <v>4000000</v>
          </cell>
          <cell r="I50">
            <v>3</v>
          </cell>
        </row>
        <row r="51">
          <cell r="C51">
            <v>603037750</v>
          </cell>
          <cell r="D51" t="str">
            <v>株・ディーズ　　　　</v>
          </cell>
          <cell r="E51">
            <v>33941000</v>
          </cell>
          <cell r="F51">
            <v>7000000</v>
          </cell>
          <cell r="G51">
            <v>0</v>
          </cell>
          <cell r="H51">
            <v>7000000</v>
          </cell>
          <cell r="I51">
            <v>3</v>
          </cell>
        </row>
        <row r="52">
          <cell r="C52">
            <v>603258462</v>
          </cell>
          <cell r="D52" t="str">
            <v>有・タカミコーポレー</v>
          </cell>
          <cell r="E52">
            <v>0</v>
          </cell>
          <cell r="F52">
            <v>0</v>
          </cell>
          <cell r="G52">
            <v>0</v>
          </cell>
          <cell r="H52">
            <v>0</v>
          </cell>
          <cell r="I52">
            <v>5</v>
          </cell>
        </row>
        <row r="53">
          <cell r="C53">
            <v>603824464</v>
          </cell>
          <cell r="D53" t="str">
            <v>日新工業・株　　　　</v>
          </cell>
          <cell r="E53">
            <v>33753356</v>
          </cell>
          <cell r="F53">
            <v>3000000</v>
          </cell>
          <cell r="G53">
            <v>0</v>
          </cell>
          <cell r="H53">
            <v>3000000</v>
          </cell>
          <cell r="I53">
            <v>3</v>
          </cell>
        </row>
        <row r="54">
          <cell r="C54">
            <v>603839867</v>
          </cell>
          <cell r="D54" t="str">
            <v>加藤　まゆ美　　　　</v>
          </cell>
          <cell r="E54">
            <v>2950000</v>
          </cell>
          <cell r="F54">
            <v>2000000</v>
          </cell>
          <cell r="G54">
            <v>0</v>
          </cell>
          <cell r="H54">
            <v>2000000</v>
          </cell>
          <cell r="I54">
            <v>4</v>
          </cell>
        </row>
        <row r="55">
          <cell r="C55">
            <v>600095963</v>
          </cell>
          <cell r="D55" t="str">
            <v>資・松沢呉服店　　　</v>
          </cell>
          <cell r="E55">
            <v>14680000</v>
          </cell>
          <cell r="F55">
            <v>6000000</v>
          </cell>
          <cell r="G55">
            <v>0</v>
          </cell>
          <cell r="H55">
            <v>6000000</v>
          </cell>
          <cell r="I55">
            <v>3</v>
          </cell>
        </row>
        <row r="56">
          <cell r="C56">
            <v>600096297</v>
          </cell>
          <cell r="D56" t="str">
            <v>有・ナガノスポーツ　</v>
          </cell>
          <cell r="E56">
            <v>61240000</v>
          </cell>
          <cell r="F56">
            <v>2000000</v>
          </cell>
          <cell r="G56">
            <v>0</v>
          </cell>
          <cell r="H56">
            <v>2000000</v>
          </cell>
          <cell r="I56">
            <v>3</v>
          </cell>
        </row>
        <row r="57">
          <cell r="C57">
            <v>600105342</v>
          </cell>
          <cell r="D57" t="str">
            <v>細谷　芳弘　　　　　</v>
          </cell>
          <cell r="E57">
            <v>58415255</v>
          </cell>
          <cell r="F57">
            <v>12000000</v>
          </cell>
          <cell r="G57">
            <v>0</v>
          </cell>
          <cell r="H57">
            <v>12000000</v>
          </cell>
          <cell r="I57">
            <v>4</v>
          </cell>
        </row>
        <row r="58">
          <cell r="C58">
            <v>600108256</v>
          </cell>
          <cell r="D58" t="str">
            <v>小菅　武男　　　　　</v>
          </cell>
          <cell r="E58">
            <v>1034136</v>
          </cell>
          <cell r="F58">
            <v>1000000</v>
          </cell>
          <cell r="G58">
            <v>0</v>
          </cell>
          <cell r="H58">
            <v>1000000</v>
          </cell>
          <cell r="I58">
            <v>3</v>
          </cell>
        </row>
        <row r="59">
          <cell r="C59">
            <v>601853003</v>
          </cell>
          <cell r="D59" t="str">
            <v>戸田　章一　　　　　</v>
          </cell>
          <cell r="E59">
            <v>47760000</v>
          </cell>
          <cell r="F59">
            <v>27000000</v>
          </cell>
          <cell r="G59">
            <v>0</v>
          </cell>
          <cell r="H59">
            <v>27000000</v>
          </cell>
          <cell r="I59">
            <v>4</v>
          </cell>
        </row>
        <row r="60">
          <cell r="C60">
            <v>602878971</v>
          </cell>
          <cell r="D60" t="str">
            <v>大和恒産・株　　　　</v>
          </cell>
          <cell r="E60">
            <v>4270000</v>
          </cell>
          <cell r="F60">
            <v>4000000</v>
          </cell>
          <cell r="G60">
            <v>0</v>
          </cell>
          <cell r="H60">
            <v>4000000</v>
          </cell>
          <cell r="I60">
            <v>4</v>
          </cell>
        </row>
        <row r="61">
          <cell r="C61">
            <v>600114601</v>
          </cell>
          <cell r="D61" t="str">
            <v>有・いろは鮨　　　　</v>
          </cell>
          <cell r="E61">
            <v>41801000</v>
          </cell>
          <cell r="F61">
            <v>2000000</v>
          </cell>
          <cell r="G61">
            <v>0</v>
          </cell>
          <cell r="H61">
            <v>2000000</v>
          </cell>
          <cell r="I61">
            <v>3</v>
          </cell>
        </row>
        <row r="62">
          <cell r="C62">
            <v>600115480</v>
          </cell>
          <cell r="D62" t="str">
            <v>株・マルカミ　　　　</v>
          </cell>
          <cell r="E62">
            <v>76464518</v>
          </cell>
          <cell r="F62">
            <v>1000000</v>
          </cell>
          <cell r="G62">
            <v>0</v>
          </cell>
          <cell r="H62">
            <v>1000000</v>
          </cell>
          <cell r="I62">
            <v>3</v>
          </cell>
        </row>
        <row r="63">
          <cell r="C63">
            <v>600119760</v>
          </cell>
          <cell r="D63" t="str">
            <v>小林　周造　　　　　</v>
          </cell>
          <cell r="E63">
            <v>27903173</v>
          </cell>
          <cell r="F63">
            <v>6000000</v>
          </cell>
          <cell r="G63">
            <v>0</v>
          </cell>
          <cell r="H63">
            <v>6000000</v>
          </cell>
          <cell r="I63">
            <v>3</v>
          </cell>
        </row>
        <row r="64">
          <cell r="C64">
            <v>603720290</v>
          </cell>
          <cell r="D64" t="str">
            <v>長野第一リフォ－ム株</v>
          </cell>
          <cell r="E64">
            <v>5500000</v>
          </cell>
          <cell r="F64">
            <v>4000000</v>
          </cell>
          <cell r="G64">
            <v>0</v>
          </cell>
          <cell r="H64">
            <v>4000000</v>
          </cell>
          <cell r="I64">
            <v>3</v>
          </cell>
        </row>
        <row r="65">
          <cell r="C65">
            <v>600130834</v>
          </cell>
          <cell r="D65" t="str">
            <v>宮沢　国郎　　　　　</v>
          </cell>
          <cell r="E65">
            <v>63538895</v>
          </cell>
          <cell r="F65">
            <v>6000000</v>
          </cell>
          <cell r="G65">
            <v>0</v>
          </cell>
          <cell r="H65">
            <v>6000000</v>
          </cell>
          <cell r="I65">
            <v>3</v>
          </cell>
        </row>
        <row r="66">
          <cell r="C66">
            <v>600133031</v>
          </cell>
          <cell r="D66" t="str">
            <v>株・日恵住宅産業　　</v>
          </cell>
          <cell r="E66">
            <v>107354928</v>
          </cell>
          <cell r="F66">
            <v>42000000</v>
          </cell>
          <cell r="G66">
            <v>0</v>
          </cell>
          <cell r="H66">
            <v>42000000</v>
          </cell>
          <cell r="I66">
            <v>4</v>
          </cell>
        </row>
        <row r="67">
          <cell r="C67">
            <v>601979826</v>
          </cell>
          <cell r="D67" t="str">
            <v>株・アミカム　　　　</v>
          </cell>
          <cell r="E67">
            <v>5332000</v>
          </cell>
          <cell r="F67">
            <v>5000000</v>
          </cell>
          <cell r="G67">
            <v>0</v>
          </cell>
          <cell r="H67">
            <v>5000000</v>
          </cell>
          <cell r="I67">
            <v>4</v>
          </cell>
        </row>
        <row r="68">
          <cell r="C68">
            <v>603125306</v>
          </cell>
          <cell r="D68" t="str">
            <v>株・ルネサンス教育研</v>
          </cell>
          <cell r="E68">
            <v>1240000</v>
          </cell>
          <cell r="F68">
            <v>1000000</v>
          </cell>
          <cell r="G68">
            <v>0</v>
          </cell>
          <cell r="H68">
            <v>1000000</v>
          </cell>
          <cell r="I68">
            <v>3</v>
          </cell>
        </row>
        <row r="69">
          <cell r="C69">
            <v>600137442</v>
          </cell>
          <cell r="D69" t="str">
            <v>有・滝の湯　　　　　</v>
          </cell>
          <cell r="E69">
            <v>0</v>
          </cell>
          <cell r="F69">
            <v>9000000</v>
          </cell>
          <cell r="G69">
            <v>0</v>
          </cell>
          <cell r="H69">
            <v>9000000</v>
          </cell>
          <cell r="I69">
            <v>3</v>
          </cell>
        </row>
        <row r="70">
          <cell r="C70">
            <v>602660222</v>
          </cell>
          <cell r="D70" t="str">
            <v>有・美舟グル－プ　　</v>
          </cell>
          <cell r="E70">
            <v>90626000</v>
          </cell>
          <cell r="F70">
            <v>18000000</v>
          </cell>
          <cell r="G70">
            <v>0</v>
          </cell>
          <cell r="H70">
            <v>18000000</v>
          </cell>
          <cell r="I70">
            <v>3</v>
          </cell>
        </row>
        <row r="71">
          <cell r="C71">
            <v>600164112</v>
          </cell>
          <cell r="D71" t="str">
            <v>富士コンサル・株　　</v>
          </cell>
          <cell r="E71">
            <v>18300000</v>
          </cell>
          <cell r="F71">
            <v>12000000</v>
          </cell>
          <cell r="G71">
            <v>0</v>
          </cell>
          <cell r="H71">
            <v>12000000</v>
          </cell>
          <cell r="I71">
            <v>3</v>
          </cell>
        </row>
        <row r="72">
          <cell r="C72">
            <v>602601289</v>
          </cell>
          <cell r="D72" t="str">
            <v>株・サンコラム　　　</v>
          </cell>
          <cell r="E72">
            <v>52189000</v>
          </cell>
          <cell r="F72">
            <v>21000000</v>
          </cell>
          <cell r="G72">
            <v>0</v>
          </cell>
          <cell r="H72">
            <v>21000000</v>
          </cell>
          <cell r="I72">
            <v>4</v>
          </cell>
        </row>
        <row r="73">
          <cell r="C73">
            <v>603434522</v>
          </cell>
          <cell r="D73" t="str">
            <v>金オ　岡村青果（株）</v>
          </cell>
          <cell r="E73">
            <v>50000000</v>
          </cell>
          <cell r="F73">
            <v>17000000</v>
          </cell>
          <cell r="G73">
            <v>0</v>
          </cell>
          <cell r="H73">
            <v>17000000</v>
          </cell>
          <cell r="I73">
            <v>3</v>
          </cell>
        </row>
        <row r="74">
          <cell r="C74">
            <v>602908689</v>
          </cell>
          <cell r="D74" t="str">
            <v>有・アイフード通商　</v>
          </cell>
          <cell r="E74">
            <v>3546139</v>
          </cell>
          <cell r="F74">
            <v>0</v>
          </cell>
          <cell r="G74">
            <v>3546139</v>
          </cell>
          <cell r="H74">
            <v>3546139</v>
          </cell>
          <cell r="I74">
            <v>5</v>
          </cell>
        </row>
        <row r="75">
          <cell r="C75">
            <v>603021816</v>
          </cell>
          <cell r="D75" t="str">
            <v>山田　巖　　　　　　</v>
          </cell>
          <cell r="E75">
            <v>17470570</v>
          </cell>
          <cell r="F75">
            <v>7000000</v>
          </cell>
          <cell r="G75">
            <v>0</v>
          </cell>
          <cell r="H75">
            <v>7000000</v>
          </cell>
          <cell r="I75">
            <v>4</v>
          </cell>
        </row>
        <row r="76">
          <cell r="C76">
            <v>600184821</v>
          </cell>
          <cell r="D76" t="str">
            <v>長野丸興商事株式会社</v>
          </cell>
          <cell r="E76">
            <v>1720000</v>
          </cell>
          <cell r="F76">
            <v>1000000</v>
          </cell>
          <cell r="G76" t="str">
            <v/>
          </cell>
          <cell r="H76" t="e">
            <v>#VALUE!</v>
          </cell>
          <cell r="I76">
            <v>3</v>
          </cell>
        </row>
        <row r="77">
          <cell r="C77">
            <v>600187073</v>
          </cell>
          <cell r="D77" t="str">
            <v>前川　正　　　　　　</v>
          </cell>
          <cell r="E77">
            <v>5244306</v>
          </cell>
          <cell r="F77">
            <v>0</v>
          </cell>
          <cell r="G77">
            <v>0</v>
          </cell>
          <cell r="H77">
            <v>0</v>
          </cell>
          <cell r="I77">
            <v>3</v>
          </cell>
        </row>
        <row r="78">
          <cell r="C78">
            <v>602021772</v>
          </cell>
          <cell r="D78" t="str">
            <v>長島　佐知夫　　　　</v>
          </cell>
          <cell r="E78">
            <v>5038173</v>
          </cell>
          <cell r="F78">
            <v>4000000</v>
          </cell>
          <cell r="G78">
            <v>0</v>
          </cell>
          <cell r="H78">
            <v>4000000</v>
          </cell>
          <cell r="I78">
            <v>3</v>
          </cell>
        </row>
        <row r="79">
          <cell r="C79">
            <v>602836168</v>
          </cell>
          <cell r="D79" t="str">
            <v>日本海洋・株　　　　</v>
          </cell>
          <cell r="E79">
            <v>45342101</v>
          </cell>
          <cell r="F79">
            <v>23000000</v>
          </cell>
          <cell r="G79">
            <v>0</v>
          </cell>
          <cell r="H79">
            <v>23000000</v>
          </cell>
          <cell r="I79">
            <v>5</v>
          </cell>
        </row>
        <row r="80">
          <cell r="C80">
            <v>602584785</v>
          </cell>
          <cell r="D80" t="str">
            <v>有・ヤオタ　　　　　</v>
          </cell>
          <cell r="E80">
            <v>0</v>
          </cell>
          <cell r="F80">
            <v>0</v>
          </cell>
          <cell r="G80">
            <v>0</v>
          </cell>
          <cell r="H80">
            <v>0</v>
          </cell>
          <cell r="I80">
            <v>4</v>
          </cell>
        </row>
        <row r="81">
          <cell r="C81">
            <v>600216544</v>
          </cell>
          <cell r="D81" t="str">
            <v>盛田　勇雄　　　　　</v>
          </cell>
          <cell r="E81">
            <v>0</v>
          </cell>
          <cell r="F81">
            <v>0</v>
          </cell>
          <cell r="G81">
            <v>0</v>
          </cell>
          <cell r="H81">
            <v>0</v>
          </cell>
          <cell r="I81">
            <v>4</v>
          </cell>
        </row>
        <row r="82">
          <cell r="C82">
            <v>603025054</v>
          </cell>
          <cell r="D82" t="str">
            <v>髙野　守雄　　　　　</v>
          </cell>
          <cell r="E82">
            <v>40999752</v>
          </cell>
          <cell r="F82">
            <v>18000000</v>
          </cell>
          <cell r="G82">
            <v>0</v>
          </cell>
          <cell r="H82">
            <v>18000000</v>
          </cell>
          <cell r="I82">
            <v>4</v>
          </cell>
        </row>
        <row r="83">
          <cell r="C83">
            <v>603287136</v>
          </cell>
          <cell r="D83" t="str">
            <v>有・三笠工業　　　　</v>
          </cell>
          <cell r="E83">
            <v>25549000</v>
          </cell>
          <cell r="F83">
            <v>2000000</v>
          </cell>
          <cell r="G83">
            <v>0</v>
          </cell>
          <cell r="H83">
            <v>2000000</v>
          </cell>
          <cell r="I83">
            <v>4</v>
          </cell>
        </row>
        <row r="84">
          <cell r="C84">
            <v>603466482</v>
          </cell>
          <cell r="D84" t="str">
            <v>有・ケ－ファクトリ－</v>
          </cell>
          <cell r="E84">
            <v>4747285</v>
          </cell>
          <cell r="F84">
            <v>4000000</v>
          </cell>
          <cell r="G84">
            <v>0</v>
          </cell>
          <cell r="H84">
            <v>4000000</v>
          </cell>
          <cell r="I84">
            <v>4</v>
          </cell>
        </row>
        <row r="85">
          <cell r="C85">
            <v>603534112</v>
          </cell>
          <cell r="D85" t="str">
            <v>寺島　伸朗　　　　　</v>
          </cell>
          <cell r="E85">
            <v>5477415</v>
          </cell>
          <cell r="F85">
            <v>2738708</v>
          </cell>
          <cell r="G85">
            <v>2738707</v>
          </cell>
          <cell r="H85">
            <v>5477415</v>
          </cell>
          <cell r="I85">
            <v>5</v>
          </cell>
        </row>
        <row r="86">
          <cell r="C86">
            <v>601732741</v>
          </cell>
          <cell r="D86" t="str">
            <v>佐藤　悟　　　　　　</v>
          </cell>
          <cell r="E86">
            <v>0</v>
          </cell>
          <cell r="F86">
            <v>0</v>
          </cell>
          <cell r="G86">
            <v>0</v>
          </cell>
          <cell r="H86">
            <v>0</v>
          </cell>
          <cell r="I86">
            <v>5</v>
          </cell>
        </row>
        <row r="87">
          <cell r="C87">
            <v>600231910</v>
          </cell>
          <cell r="D87" t="str">
            <v>寺島　綾子　　　　　</v>
          </cell>
          <cell r="E87">
            <v>34089786</v>
          </cell>
          <cell r="F87">
            <v>16000000</v>
          </cell>
          <cell r="G87">
            <v>0</v>
          </cell>
          <cell r="H87">
            <v>16000000</v>
          </cell>
          <cell r="I87">
            <v>4</v>
          </cell>
        </row>
        <row r="88">
          <cell r="C88">
            <v>600232168</v>
          </cell>
          <cell r="D88" t="str">
            <v>共同機工・株　　　　</v>
          </cell>
          <cell r="E88">
            <v>45111000</v>
          </cell>
          <cell r="F88">
            <v>5000000</v>
          </cell>
          <cell r="G88">
            <v>0</v>
          </cell>
          <cell r="H88">
            <v>5000000</v>
          </cell>
          <cell r="I88">
            <v>3</v>
          </cell>
        </row>
        <row r="89">
          <cell r="C89">
            <v>601801869</v>
          </cell>
          <cell r="D89" t="str">
            <v>滝沢　國雄　　　　　</v>
          </cell>
          <cell r="E89">
            <v>30203202</v>
          </cell>
          <cell r="F89">
            <v>9000000</v>
          </cell>
          <cell r="G89">
            <v>0</v>
          </cell>
          <cell r="H89">
            <v>9000000</v>
          </cell>
          <cell r="I89">
            <v>3</v>
          </cell>
        </row>
        <row r="90">
          <cell r="C90">
            <v>602639467</v>
          </cell>
          <cell r="D90" t="str">
            <v>丸久鋼機・有　　　　</v>
          </cell>
          <cell r="E90">
            <v>30500000</v>
          </cell>
          <cell r="F90">
            <v>1000000</v>
          </cell>
          <cell r="G90">
            <v>0</v>
          </cell>
          <cell r="H90">
            <v>1000000</v>
          </cell>
          <cell r="I90">
            <v>3</v>
          </cell>
        </row>
        <row r="91">
          <cell r="C91">
            <v>602767126</v>
          </cell>
          <cell r="D91" t="str">
            <v>株・芦澤美装　　　　</v>
          </cell>
          <cell r="E91">
            <v>27201081</v>
          </cell>
          <cell r="F91">
            <v>13600541</v>
          </cell>
          <cell r="G91">
            <v>13600540</v>
          </cell>
          <cell r="H91">
            <v>27201081</v>
          </cell>
          <cell r="I91">
            <v>5</v>
          </cell>
        </row>
        <row r="92">
          <cell r="C92">
            <v>600237445</v>
          </cell>
          <cell r="D92" t="str">
            <v>有・若屋商店　　　　</v>
          </cell>
          <cell r="E92">
            <v>12185426</v>
          </cell>
          <cell r="F92">
            <v>4000000</v>
          </cell>
          <cell r="G92">
            <v>0</v>
          </cell>
          <cell r="H92">
            <v>4000000</v>
          </cell>
          <cell r="I92">
            <v>3</v>
          </cell>
        </row>
        <row r="93">
          <cell r="C93">
            <v>600237892</v>
          </cell>
          <cell r="D93" t="str">
            <v>株・山信　　　　　　</v>
          </cell>
          <cell r="E93">
            <v>137000000</v>
          </cell>
          <cell r="F93">
            <v>5000000</v>
          </cell>
          <cell r="G93">
            <v>0</v>
          </cell>
          <cell r="H93">
            <v>5000000</v>
          </cell>
          <cell r="I93">
            <v>4</v>
          </cell>
        </row>
        <row r="94">
          <cell r="C94">
            <v>600238213</v>
          </cell>
          <cell r="D94" t="str">
            <v>有・藤縄商店　　　　</v>
          </cell>
          <cell r="E94">
            <v>4340000</v>
          </cell>
          <cell r="F94">
            <v>4000000</v>
          </cell>
          <cell r="G94">
            <v>0</v>
          </cell>
          <cell r="H94">
            <v>4000000</v>
          </cell>
          <cell r="I94">
            <v>4</v>
          </cell>
        </row>
        <row r="95">
          <cell r="C95">
            <v>600239416</v>
          </cell>
          <cell r="D95" t="str">
            <v>牧野　忠雄　　　　　</v>
          </cell>
          <cell r="E95">
            <v>1990000</v>
          </cell>
          <cell r="F95">
            <v>1000000</v>
          </cell>
          <cell r="G95">
            <v>0</v>
          </cell>
          <cell r="H95">
            <v>1000000</v>
          </cell>
          <cell r="I95">
            <v>4</v>
          </cell>
        </row>
        <row r="96">
          <cell r="C96">
            <v>600251216</v>
          </cell>
          <cell r="D96" t="str">
            <v>株・オオウチ　　　　</v>
          </cell>
          <cell r="E96">
            <v>232105786</v>
          </cell>
          <cell r="F96">
            <v>24000000</v>
          </cell>
          <cell r="G96">
            <v>0</v>
          </cell>
          <cell r="H96">
            <v>24000000</v>
          </cell>
          <cell r="I96">
            <v>3</v>
          </cell>
        </row>
        <row r="97">
          <cell r="C97">
            <v>600251554</v>
          </cell>
          <cell r="D97" t="str">
            <v>有・美濃屋精米所　　</v>
          </cell>
          <cell r="E97">
            <v>47340000</v>
          </cell>
          <cell r="F97">
            <v>8000000</v>
          </cell>
          <cell r="G97">
            <v>0</v>
          </cell>
          <cell r="H97">
            <v>8000000</v>
          </cell>
          <cell r="I97">
            <v>3</v>
          </cell>
        </row>
        <row r="98">
          <cell r="C98">
            <v>600253525</v>
          </cell>
          <cell r="D98" t="str">
            <v>有・東陽小川電子　　</v>
          </cell>
          <cell r="E98">
            <v>10072000</v>
          </cell>
          <cell r="F98">
            <v>1000000</v>
          </cell>
          <cell r="G98">
            <v>0</v>
          </cell>
          <cell r="H98">
            <v>1000000</v>
          </cell>
          <cell r="I98">
            <v>3</v>
          </cell>
        </row>
        <row r="99">
          <cell r="C99">
            <v>600253776</v>
          </cell>
          <cell r="D99" t="str">
            <v>株・北村組　　　　　</v>
          </cell>
          <cell r="E99">
            <v>280982474</v>
          </cell>
          <cell r="F99">
            <v>109000000</v>
          </cell>
          <cell r="G99">
            <v>0</v>
          </cell>
          <cell r="H99">
            <v>109000000</v>
          </cell>
          <cell r="I99">
            <v>3</v>
          </cell>
        </row>
        <row r="100">
          <cell r="C100">
            <v>600255998</v>
          </cell>
          <cell r="D100" t="str">
            <v>有・吉原建材　　　　</v>
          </cell>
          <cell r="E100">
            <v>167768367</v>
          </cell>
          <cell r="F100">
            <v>54000000</v>
          </cell>
          <cell r="G100">
            <v>0</v>
          </cell>
          <cell r="H100">
            <v>54000000</v>
          </cell>
          <cell r="I100">
            <v>3</v>
          </cell>
        </row>
        <row r="101">
          <cell r="C101">
            <v>600257578</v>
          </cell>
          <cell r="D101" t="str">
            <v>滝沢　栄　　　　　　</v>
          </cell>
          <cell r="E101">
            <v>42012714</v>
          </cell>
          <cell r="F101">
            <v>6000000</v>
          </cell>
          <cell r="G101">
            <v>0</v>
          </cell>
          <cell r="H101">
            <v>6000000</v>
          </cell>
          <cell r="I101">
            <v>3</v>
          </cell>
        </row>
        <row r="102">
          <cell r="C102">
            <v>601663536</v>
          </cell>
          <cell r="D102" t="str">
            <v>有・ワカホ　　　　　</v>
          </cell>
          <cell r="E102">
            <v>40334000</v>
          </cell>
          <cell r="F102">
            <v>4000000</v>
          </cell>
          <cell r="G102">
            <v>0</v>
          </cell>
          <cell r="H102">
            <v>4000000</v>
          </cell>
          <cell r="I102">
            <v>3</v>
          </cell>
        </row>
        <row r="103">
          <cell r="C103">
            <v>601966461</v>
          </cell>
          <cell r="D103" t="str">
            <v>滝沢木材・株　　　　</v>
          </cell>
          <cell r="E103">
            <v>4502000</v>
          </cell>
          <cell r="F103">
            <v>2000000</v>
          </cell>
          <cell r="G103">
            <v>0</v>
          </cell>
          <cell r="H103">
            <v>2000000</v>
          </cell>
          <cell r="I103">
            <v>3</v>
          </cell>
        </row>
        <row r="104">
          <cell r="C104">
            <v>602404217</v>
          </cell>
          <cell r="D104" t="str">
            <v>株・ベリアス　　　　</v>
          </cell>
          <cell r="E104">
            <v>89591025</v>
          </cell>
          <cell r="F104">
            <v>66000000</v>
          </cell>
          <cell r="G104">
            <v>0</v>
          </cell>
          <cell r="H104">
            <v>66000000</v>
          </cell>
          <cell r="I104">
            <v>4</v>
          </cell>
        </row>
        <row r="105">
          <cell r="C105">
            <v>603437925</v>
          </cell>
          <cell r="D105" t="str">
            <v>治　光希　　　　　　</v>
          </cell>
          <cell r="E105">
            <v>28006663</v>
          </cell>
          <cell r="F105">
            <v>7000000</v>
          </cell>
          <cell r="G105">
            <v>0</v>
          </cell>
          <cell r="H105">
            <v>7000000</v>
          </cell>
          <cell r="I105">
            <v>4</v>
          </cell>
        </row>
        <row r="106">
          <cell r="C106">
            <v>602771360</v>
          </cell>
          <cell r="D106" t="str">
            <v>小林　茂　　　　　　</v>
          </cell>
          <cell r="E106">
            <v>21139875</v>
          </cell>
          <cell r="F106">
            <v>6000000</v>
          </cell>
          <cell r="G106" t="str">
            <v/>
          </cell>
          <cell r="H106" t="e">
            <v>#VALUE!</v>
          </cell>
          <cell r="I106">
            <v>3</v>
          </cell>
        </row>
        <row r="107">
          <cell r="C107">
            <v>603806293</v>
          </cell>
          <cell r="D107" t="str">
            <v>株・ナカジマ　　　　</v>
          </cell>
          <cell r="E107">
            <v>115420000</v>
          </cell>
          <cell r="F107">
            <v>9000000</v>
          </cell>
          <cell r="G107">
            <v>0</v>
          </cell>
          <cell r="H107">
            <v>9000000</v>
          </cell>
          <cell r="I107">
            <v>3</v>
          </cell>
        </row>
        <row r="108">
          <cell r="C108">
            <v>600265276</v>
          </cell>
          <cell r="D108" t="str">
            <v>三興食品・株　　　　</v>
          </cell>
          <cell r="E108">
            <v>266971995</v>
          </cell>
          <cell r="F108">
            <v>133000000</v>
          </cell>
          <cell r="G108">
            <v>0</v>
          </cell>
          <cell r="H108">
            <v>133000000</v>
          </cell>
          <cell r="I108">
            <v>4</v>
          </cell>
        </row>
        <row r="109">
          <cell r="C109">
            <v>600267529</v>
          </cell>
          <cell r="D109" t="str">
            <v>愛和工業・株　　　　</v>
          </cell>
          <cell r="E109">
            <v>99394117</v>
          </cell>
          <cell r="F109">
            <v>43501484</v>
          </cell>
          <cell r="G109">
            <v>43501483</v>
          </cell>
          <cell r="H109">
            <v>87002967</v>
          </cell>
          <cell r="I109">
            <v>5</v>
          </cell>
        </row>
        <row r="110">
          <cell r="C110">
            <v>600267845</v>
          </cell>
          <cell r="D110" t="str">
            <v>株・マルジルシ　　　</v>
          </cell>
          <cell r="E110">
            <v>658122000</v>
          </cell>
          <cell r="F110">
            <v>62000000</v>
          </cell>
          <cell r="G110">
            <v>0</v>
          </cell>
          <cell r="H110">
            <v>62000000</v>
          </cell>
          <cell r="I110">
            <v>3</v>
          </cell>
        </row>
        <row r="111">
          <cell r="C111">
            <v>600270473</v>
          </cell>
          <cell r="D111" t="str">
            <v>株・タウンエース　　</v>
          </cell>
          <cell r="E111">
            <v>51876017</v>
          </cell>
          <cell r="F111">
            <v>2000000</v>
          </cell>
          <cell r="G111">
            <v>0</v>
          </cell>
          <cell r="H111">
            <v>2000000</v>
          </cell>
          <cell r="I111">
            <v>3</v>
          </cell>
        </row>
        <row r="112">
          <cell r="C112">
            <v>600272106</v>
          </cell>
          <cell r="D112" t="str">
            <v>目黒　昭夫　　　　　</v>
          </cell>
          <cell r="E112">
            <v>1102252</v>
          </cell>
          <cell r="F112">
            <v>1000000</v>
          </cell>
          <cell r="G112">
            <v>0</v>
          </cell>
          <cell r="H112">
            <v>1000000</v>
          </cell>
          <cell r="I112">
            <v>4</v>
          </cell>
        </row>
        <row r="113">
          <cell r="C113">
            <v>600272477</v>
          </cell>
          <cell r="D113" t="str">
            <v>資・能登忠　　　　　</v>
          </cell>
          <cell r="E113">
            <v>149637130</v>
          </cell>
          <cell r="F113">
            <v>33000000</v>
          </cell>
          <cell r="G113">
            <v>0</v>
          </cell>
          <cell r="H113">
            <v>33000000</v>
          </cell>
          <cell r="I113">
            <v>3</v>
          </cell>
        </row>
        <row r="114">
          <cell r="C114">
            <v>600275250</v>
          </cell>
          <cell r="D114" t="str">
            <v>八町興産・株　　　　</v>
          </cell>
          <cell r="E114">
            <v>4857767181</v>
          </cell>
          <cell r="F114">
            <v>4267000000</v>
          </cell>
          <cell r="G114">
            <v>0</v>
          </cell>
          <cell r="H114">
            <v>4267000000</v>
          </cell>
          <cell r="I114">
            <v>4</v>
          </cell>
        </row>
        <row r="115">
          <cell r="C115">
            <v>600279909</v>
          </cell>
          <cell r="D115" t="str">
            <v>株・協同ビル　　　　</v>
          </cell>
          <cell r="E115">
            <v>49374225</v>
          </cell>
          <cell r="F115">
            <v>23000000</v>
          </cell>
          <cell r="G115">
            <v>0</v>
          </cell>
          <cell r="H115">
            <v>23000000</v>
          </cell>
          <cell r="I115">
            <v>4</v>
          </cell>
        </row>
        <row r="116">
          <cell r="C116">
            <v>600282211</v>
          </cell>
          <cell r="D116" t="str">
            <v>株・イ－ワテツク　　</v>
          </cell>
          <cell r="E116">
            <v>160941858</v>
          </cell>
          <cell r="F116">
            <v>8000000</v>
          </cell>
          <cell r="G116">
            <v>0</v>
          </cell>
          <cell r="H116">
            <v>8000000</v>
          </cell>
          <cell r="I116">
            <v>3</v>
          </cell>
        </row>
        <row r="117">
          <cell r="C117">
            <v>601715240</v>
          </cell>
          <cell r="D117" t="str">
            <v>岡田産業・株　　　　</v>
          </cell>
          <cell r="E117">
            <v>203075000</v>
          </cell>
          <cell r="F117">
            <v>43000000</v>
          </cell>
          <cell r="G117">
            <v>0</v>
          </cell>
          <cell r="H117">
            <v>43000000</v>
          </cell>
          <cell r="I117">
            <v>3</v>
          </cell>
        </row>
        <row r="118">
          <cell r="C118">
            <v>601974223</v>
          </cell>
          <cell r="D118" t="str">
            <v>田幸　袈佐昭　　　　</v>
          </cell>
          <cell r="E118">
            <v>18548269</v>
          </cell>
          <cell r="F118">
            <v>5000000</v>
          </cell>
          <cell r="G118">
            <v>0</v>
          </cell>
          <cell r="H118">
            <v>5000000</v>
          </cell>
          <cell r="I118">
            <v>3</v>
          </cell>
        </row>
        <row r="119">
          <cell r="C119">
            <v>602948476</v>
          </cell>
          <cell r="D119" t="str">
            <v>永井　淳　　　　　　</v>
          </cell>
          <cell r="E119">
            <v>1751401</v>
          </cell>
          <cell r="F119">
            <v>1000000</v>
          </cell>
          <cell r="G119">
            <v>0</v>
          </cell>
          <cell r="H119">
            <v>1000000</v>
          </cell>
          <cell r="I119">
            <v>3</v>
          </cell>
        </row>
        <row r="120">
          <cell r="C120">
            <v>602948498</v>
          </cell>
          <cell r="D120" t="str">
            <v>永井　栄　　　　　　</v>
          </cell>
          <cell r="E120">
            <v>1751401</v>
          </cell>
          <cell r="F120">
            <v>1000000</v>
          </cell>
          <cell r="G120">
            <v>0</v>
          </cell>
          <cell r="H120">
            <v>1000000</v>
          </cell>
          <cell r="I120">
            <v>3</v>
          </cell>
        </row>
        <row r="121">
          <cell r="C121">
            <v>603144116</v>
          </cell>
          <cell r="D121" t="str">
            <v>株・ジェムコ　　　　</v>
          </cell>
          <cell r="E121">
            <v>71425134</v>
          </cell>
          <cell r="F121">
            <v>4000000</v>
          </cell>
          <cell r="G121">
            <v>0</v>
          </cell>
          <cell r="H121">
            <v>4000000</v>
          </cell>
          <cell r="I121">
            <v>3</v>
          </cell>
        </row>
        <row r="122">
          <cell r="C122">
            <v>603150181</v>
          </cell>
          <cell r="D122" t="str">
            <v>永井順裕　永井淳　　</v>
          </cell>
          <cell r="E122">
            <v>421660000</v>
          </cell>
          <cell r="F122">
            <v>208000000</v>
          </cell>
          <cell r="G122">
            <v>0</v>
          </cell>
          <cell r="H122">
            <v>208000000</v>
          </cell>
          <cell r="I122">
            <v>3</v>
          </cell>
        </row>
        <row r="123">
          <cell r="C123">
            <v>600295610</v>
          </cell>
          <cell r="D123" t="str">
            <v>株・オカダ　　　　　</v>
          </cell>
          <cell r="E123">
            <v>40603409</v>
          </cell>
          <cell r="F123">
            <v>8407505</v>
          </cell>
          <cell r="G123">
            <v>8407504</v>
          </cell>
          <cell r="H123">
            <v>16815009</v>
          </cell>
          <cell r="I123">
            <v>5</v>
          </cell>
        </row>
        <row r="124">
          <cell r="C124">
            <v>600300789</v>
          </cell>
          <cell r="D124" t="str">
            <v>有・ユタカ中野会館　</v>
          </cell>
          <cell r="E124">
            <v>40769150</v>
          </cell>
          <cell r="F124">
            <v>22000000</v>
          </cell>
          <cell r="G124">
            <v>0</v>
          </cell>
          <cell r="H124">
            <v>22000000</v>
          </cell>
          <cell r="I124">
            <v>4</v>
          </cell>
        </row>
        <row r="125">
          <cell r="C125">
            <v>600301622</v>
          </cell>
          <cell r="D125" t="str">
            <v>山岸　昌弘　　　　　</v>
          </cell>
          <cell r="E125">
            <v>225309897</v>
          </cell>
          <cell r="F125">
            <v>30000000</v>
          </cell>
          <cell r="G125">
            <v>0</v>
          </cell>
          <cell r="H125">
            <v>30000000</v>
          </cell>
          <cell r="I125">
            <v>3</v>
          </cell>
        </row>
        <row r="126">
          <cell r="C126">
            <v>600301764</v>
          </cell>
          <cell r="D126" t="str">
            <v>畠山　眞佐子　　　　</v>
          </cell>
          <cell r="E126">
            <v>3126410</v>
          </cell>
          <cell r="F126">
            <v>2000000</v>
          </cell>
          <cell r="G126">
            <v>0</v>
          </cell>
          <cell r="H126">
            <v>2000000</v>
          </cell>
          <cell r="I126">
            <v>3</v>
          </cell>
        </row>
        <row r="127">
          <cell r="C127">
            <v>600301862</v>
          </cell>
          <cell r="D127" t="str">
            <v>株・畠山商会　　　　</v>
          </cell>
          <cell r="E127">
            <v>28000000</v>
          </cell>
          <cell r="F127">
            <v>26000000</v>
          </cell>
          <cell r="G127">
            <v>0</v>
          </cell>
          <cell r="H127">
            <v>26000000</v>
          </cell>
          <cell r="I127">
            <v>4</v>
          </cell>
        </row>
        <row r="128">
          <cell r="C128">
            <v>600303062</v>
          </cell>
          <cell r="D128" t="str">
            <v>有・佐藤通商　　　　</v>
          </cell>
          <cell r="E128">
            <v>1247948</v>
          </cell>
          <cell r="F128">
            <v>1000000</v>
          </cell>
          <cell r="G128">
            <v>0</v>
          </cell>
          <cell r="H128">
            <v>1000000</v>
          </cell>
          <cell r="I128">
            <v>4</v>
          </cell>
        </row>
        <row r="129">
          <cell r="C129">
            <v>600304732</v>
          </cell>
          <cell r="D129" t="str">
            <v>荒井　泰　　　　　　</v>
          </cell>
          <cell r="E129">
            <v>28734944</v>
          </cell>
          <cell r="F129">
            <v>0</v>
          </cell>
          <cell r="G129">
            <v>28734944</v>
          </cell>
          <cell r="H129">
            <v>28734944</v>
          </cell>
          <cell r="I129">
            <v>4</v>
          </cell>
        </row>
        <row r="130">
          <cell r="C130">
            <v>600314272</v>
          </cell>
          <cell r="D130" t="str">
            <v>株・荒井屋　　　　　</v>
          </cell>
          <cell r="E130">
            <v>398437840</v>
          </cell>
          <cell r="F130">
            <v>162406120</v>
          </cell>
          <cell r="G130">
            <v>162406120</v>
          </cell>
          <cell r="H130">
            <v>324812240</v>
          </cell>
          <cell r="I130">
            <v>5</v>
          </cell>
        </row>
        <row r="131">
          <cell r="C131">
            <v>602266962</v>
          </cell>
          <cell r="D131" t="str">
            <v>東　次則　　　　　　</v>
          </cell>
          <cell r="E131">
            <v>13800000</v>
          </cell>
          <cell r="F131">
            <v>4000000</v>
          </cell>
          <cell r="G131">
            <v>0</v>
          </cell>
          <cell r="H131">
            <v>4000000</v>
          </cell>
          <cell r="I131">
            <v>3</v>
          </cell>
        </row>
        <row r="132">
          <cell r="C132">
            <v>602275145</v>
          </cell>
          <cell r="D132" t="str">
            <v>山本　紀子　　　　　</v>
          </cell>
          <cell r="E132">
            <v>0</v>
          </cell>
          <cell r="F132">
            <v>0</v>
          </cell>
          <cell r="G132">
            <v>0</v>
          </cell>
          <cell r="H132">
            <v>0</v>
          </cell>
          <cell r="I132">
            <v>4</v>
          </cell>
        </row>
        <row r="133">
          <cell r="C133">
            <v>602579164</v>
          </cell>
          <cell r="D133" t="str">
            <v>割田　正一　　　　　</v>
          </cell>
          <cell r="E133">
            <v>1550000</v>
          </cell>
          <cell r="F133">
            <v>1000000</v>
          </cell>
          <cell r="G133" t="str">
            <v/>
          </cell>
          <cell r="H133" t="e">
            <v>#VALUE!</v>
          </cell>
          <cell r="I133">
            <v>3</v>
          </cell>
        </row>
        <row r="134">
          <cell r="C134">
            <v>602666671</v>
          </cell>
          <cell r="D134" t="str">
            <v>柳沢　菊二　　　　　</v>
          </cell>
          <cell r="E134">
            <v>29760000</v>
          </cell>
          <cell r="F134">
            <v>14000000</v>
          </cell>
          <cell r="G134">
            <v>0</v>
          </cell>
          <cell r="H134">
            <v>14000000</v>
          </cell>
          <cell r="I134">
            <v>4</v>
          </cell>
        </row>
        <row r="135">
          <cell r="C135">
            <v>602967786</v>
          </cell>
          <cell r="D135" t="str">
            <v>有・畔上工業　　　　</v>
          </cell>
          <cell r="E135">
            <v>16295600</v>
          </cell>
          <cell r="F135">
            <v>2000000</v>
          </cell>
          <cell r="G135">
            <v>0</v>
          </cell>
          <cell r="H135">
            <v>2000000</v>
          </cell>
          <cell r="I135">
            <v>3</v>
          </cell>
        </row>
        <row r="136">
          <cell r="C136">
            <v>603036079</v>
          </cell>
          <cell r="D136" t="str">
            <v>有・柳沢　魚とし　　</v>
          </cell>
          <cell r="E136">
            <v>2904517</v>
          </cell>
          <cell r="F136">
            <v>2000000</v>
          </cell>
          <cell r="G136">
            <v>0</v>
          </cell>
          <cell r="H136">
            <v>2000000</v>
          </cell>
          <cell r="I136">
            <v>4</v>
          </cell>
        </row>
        <row r="137">
          <cell r="C137">
            <v>600286568</v>
          </cell>
          <cell r="D137" t="str">
            <v>株・天狗の湯　　　　</v>
          </cell>
          <cell r="E137">
            <v>69291000</v>
          </cell>
          <cell r="F137">
            <v>19000000</v>
          </cell>
          <cell r="G137">
            <v>0</v>
          </cell>
          <cell r="H137">
            <v>19000000</v>
          </cell>
          <cell r="I137">
            <v>4</v>
          </cell>
        </row>
        <row r="138">
          <cell r="C138">
            <v>600302358</v>
          </cell>
          <cell r="D138" t="str">
            <v>有・ロッジタカユキ　</v>
          </cell>
          <cell r="E138">
            <v>166105000</v>
          </cell>
          <cell r="F138">
            <v>51000000</v>
          </cell>
          <cell r="G138">
            <v>0</v>
          </cell>
          <cell r="H138">
            <v>51000000</v>
          </cell>
          <cell r="I138">
            <v>3</v>
          </cell>
        </row>
        <row r="139">
          <cell r="C139">
            <v>600318703</v>
          </cell>
          <cell r="D139" t="str">
            <v>有・よろづや旅館　　</v>
          </cell>
          <cell r="E139">
            <v>1317107000</v>
          </cell>
          <cell r="F139">
            <v>673000000</v>
          </cell>
          <cell r="G139">
            <v>0</v>
          </cell>
          <cell r="H139">
            <v>673000000</v>
          </cell>
          <cell r="I139">
            <v>3</v>
          </cell>
        </row>
        <row r="140">
          <cell r="C140">
            <v>600318910</v>
          </cell>
          <cell r="D140" t="str">
            <v>宮崎商事・有　　　　</v>
          </cell>
          <cell r="E140">
            <v>8735000</v>
          </cell>
          <cell r="F140">
            <v>2000000</v>
          </cell>
          <cell r="G140">
            <v>0</v>
          </cell>
          <cell r="H140">
            <v>2000000</v>
          </cell>
          <cell r="I140">
            <v>3</v>
          </cell>
        </row>
        <row r="141">
          <cell r="C141">
            <v>600318998</v>
          </cell>
          <cell r="D141" t="str">
            <v>有・ヴィラ・一の瀬　</v>
          </cell>
          <cell r="E141">
            <v>24419168</v>
          </cell>
          <cell r="F141">
            <v>2000000</v>
          </cell>
          <cell r="G141">
            <v>0</v>
          </cell>
          <cell r="H141">
            <v>2000000</v>
          </cell>
          <cell r="I141">
            <v>3</v>
          </cell>
        </row>
        <row r="142">
          <cell r="C142">
            <v>600319255</v>
          </cell>
          <cell r="D142" t="str">
            <v>資・湯田中グランドホ</v>
          </cell>
          <cell r="E142">
            <v>24257000</v>
          </cell>
          <cell r="F142">
            <v>5000000</v>
          </cell>
          <cell r="G142">
            <v>0</v>
          </cell>
          <cell r="H142">
            <v>5000000</v>
          </cell>
          <cell r="I142">
            <v>3</v>
          </cell>
        </row>
        <row r="143">
          <cell r="C143">
            <v>600319515</v>
          </cell>
          <cell r="D143" t="str">
            <v>農事組合法人高井富士</v>
          </cell>
          <cell r="E143">
            <v>54500000</v>
          </cell>
          <cell r="F143">
            <v>29000000</v>
          </cell>
          <cell r="G143">
            <v>0</v>
          </cell>
          <cell r="H143">
            <v>29000000</v>
          </cell>
          <cell r="I143">
            <v>3</v>
          </cell>
        </row>
        <row r="144">
          <cell r="C144">
            <v>600320074</v>
          </cell>
          <cell r="D144" t="str">
            <v>株・藤井　　　　　　</v>
          </cell>
          <cell r="E144">
            <v>123340650</v>
          </cell>
          <cell r="F144">
            <v>4000000</v>
          </cell>
          <cell r="G144">
            <v>0</v>
          </cell>
          <cell r="H144">
            <v>4000000</v>
          </cell>
          <cell r="I144">
            <v>3</v>
          </cell>
        </row>
        <row r="145">
          <cell r="C145">
            <v>600320138</v>
          </cell>
          <cell r="D145" t="str">
            <v>株・ホテルニュー志賀</v>
          </cell>
          <cell r="E145">
            <v>240614000</v>
          </cell>
          <cell r="F145">
            <v>19000000</v>
          </cell>
          <cell r="G145">
            <v>0</v>
          </cell>
          <cell r="H145">
            <v>19000000</v>
          </cell>
          <cell r="I145">
            <v>3</v>
          </cell>
        </row>
        <row r="146">
          <cell r="C146">
            <v>600320758</v>
          </cell>
          <cell r="D146" t="str">
            <v>滝沢　忠治郎　　　　</v>
          </cell>
          <cell r="E146">
            <v>1262000</v>
          </cell>
          <cell r="F146">
            <v>1000000</v>
          </cell>
          <cell r="G146">
            <v>0</v>
          </cell>
          <cell r="H146">
            <v>1000000</v>
          </cell>
          <cell r="I146">
            <v>3</v>
          </cell>
        </row>
        <row r="147">
          <cell r="C147">
            <v>600321060</v>
          </cell>
          <cell r="D147" t="str">
            <v>有・五郎兵衛旅館　　</v>
          </cell>
          <cell r="E147">
            <v>21248448</v>
          </cell>
          <cell r="F147">
            <v>0</v>
          </cell>
          <cell r="G147">
            <v>0</v>
          </cell>
          <cell r="H147">
            <v>0</v>
          </cell>
          <cell r="I147">
            <v>3</v>
          </cell>
        </row>
        <row r="148">
          <cell r="C148">
            <v>600322981</v>
          </cell>
          <cell r="D148" t="str">
            <v>有・壽土木　　　　　</v>
          </cell>
          <cell r="E148">
            <v>12708850</v>
          </cell>
          <cell r="F148">
            <v>2000000</v>
          </cell>
          <cell r="G148">
            <v>0</v>
          </cell>
          <cell r="H148">
            <v>2000000</v>
          </cell>
          <cell r="I148">
            <v>3</v>
          </cell>
        </row>
        <row r="149">
          <cell r="C149">
            <v>600323944</v>
          </cell>
          <cell r="D149" t="str">
            <v>有・山口商事　　　　</v>
          </cell>
          <cell r="E149">
            <v>2234000</v>
          </cell>
          <cell r="F149">
            <v>2000000</v>
          </cell>
          <cell r="G149">
            <v>0</v>
          </cell>
          <cell r="H149">
            <v>2000000</v>
          </cell>
          <cell r="I149">
            <v>3</v>
          </cell>
        </row>
        <row r="150">
          <cell r="C150">
            <v>602073003</v>
          </cell>
          <cell r="D150" t="str">
            <v>有・中島写真館　　　</v>
          </cell>
          <cell r="E150">
            <v>14753921</v>
          </cell>
          <cell r="F150">
            <v>4000000</v>
          </cell>
          <cell r="G150">
            <v>0</v>
          </cell>
          <cell r="H150">
            <v>4000000</v>
          </cell>
          <cell r="I150">
            <v>3</v>
          </cell>
        </row>
        <row r="151">
          <cell r="C151">
            <v>602387595</v>
          </cell>
          <cell r="D151" t="str">
            <v>株・竜王パーク　　　</v>
          </cell>
          <cell r="E151">
            <v>69250000</v>
          </cell>
          <cell r="F151">
            <v>17000000</v>
          </cell>
          <cell r="G151">
            <v>0</v>
          </cell>
          <cell r="H151">
            <v>17000000</v>
          </cell>
          <cell r="I151">
            <v>4</v>
          </cell>
        </row>
        <row r="152">
          <cell r="C152">
            <v>602697785</v>
          </cell>
          <cell r="D152" t="str">
            <v>よませリフト・株　　</v>
          </cell>
          <cell r="E152">
            <v>273000000</v>
          </cell>
          <cell r="F152">
            <v>149000000</v>
          </cell>
          <cell r="G152">
            <v>0</v>
          </cell>
          <cell r="H152">
            <v>149000000</v>
          </cell>
          <cell r="I152">
            <v>3</v>
          </cell>
        </row>
        <row r="153">
          <cell r="C153">
            <v>602894291</v>
          </cell>
          <cell r="D153" t="str">
            <v>有・ケルン　　　　　</v>
          </cell>
          <cell r="E153">
            <v>189200000</v>
          </cell>
          <cell r="F153">
            <v>70000000</v>
          </cell>
          <cell r="G153">
            <v>0</v>
          </cell>
          <cell r="H153">
            <v>70000000</v>
          </cell>
          <cell r="I153">
            <v>3</v>
          </cell>
        </row>
        <row r="154">
          <cell r="C154">
            <v>602894671</v>
          </cell>
          <cell r="D154" t="str">
            <v>有・にわや　　　　　</v>
          </cell>
          <cell r="E154">
            <v>205350000</v>
          </cell>
          <cell r="F154">
            <v>85000000</v>
          </cell>
          <cell r="G154">
            <v>0</v>
          </cell>
          <cell r="H154">
            <v>85000000</v>
          </cell>
          <cell r="I154">
            <v>3</v>
          </cell>
        </row>
        <row r="155">
          <cell r="C155">
            <v>603243307</v>
          </cell>
          <cell r="D155" t="str">
            <v>有・セラン　　　　　</v>
          </cell>
          <cell r="E155">
            <v>901117000</v>
          </cell>
          <cell r="F155">
            <v>372000000</v>
          </cell>
          <cell r="G155" t="str">
            <v/>
          </cell>
          <cell r="H155" t="e">
            <v>#VALUE!</v>
          </cell>
          <cell r="I155">
            <v>3</v>
          </cell>
        </row>
        <row r="156">
          <cell r="C156">
            <v>600327595</v>
          </cell>
          <cell r="D156" t="str">
            <v>栄林産工業協業組合　</v>
          </cell>
          <cell r="E156">
            <v>318531000</v>
          </cell>
          <cell r="F156">
            <v>80000000</v>
          </cell>
          <cell r="G156">
            <v>0</v>
          </cell>
          <cell r="H156">
            <v>80000000</v>
          </cell>
          <cell r="I156">
            <v>3</v>
          </cell>
        </row>
        <row r="157">
          <cell r="C157">
            <v>600328829</v>
          </cell>
          <cell r="D157" t="str">
            <v>福澤　進　　　　　　</v>
          </cell>
          <cell r="E157">
            <v>72024929</v>
          </cell>
          <cell r="F157">
            <v>17000000</v>
          </cell>
          <cell r="G157">
            <v>0</v>
          </cell>
          <cell r="H157">
            <v>17000000</v>
          </cell>
          <cell r="I157">
            <v>4</v>
          </cell>
        </row>
        <row r="158">
          <cell r="C158">
            <v>600329000</v>
          </cell>
          <cell r="D158" t="str">
            <v>栗林　彰一</v>
          </cell>
          <cell r="E158">
            <v>13540433</v>
          </cell>
          <cell r="F158">
            <v>2000000</v>
          </cell>
          <cell r="G158" t="str">
            <v/>
          </cell>
          <cell r="H158" t="e">
            <v>#VALUE!</v>
          </cell>
          <cell r="I158">
            <v>3</v>
          </cell>
        </row>
        <row r="159">
          <cell r="C159">
            <v>600331304</v>
          </cell>
          <cell r="D159" t="str">
            <v>資・酒屋旅館　　　　</v>
          </cell>
          <cell r="E159">
            <v>522887000</v>
          </cell>
          <cell r="F159">
            <v>142000000</v>
          </cell>
          <cell r="G159">
            <v>0</v>
          </cell>
          <cell r="H159">
            <v>142000000</v>
          </cell>
          <cell r="I159">
            <v>3</v>
          </cell>
        </row>
        <row r="160">
          <cell r="C160">
            <v>600335662</v>
          </cell>
          <cell r="D160" t="str">
            <v>高水錦酒造・株　　　</v>
          </cell>
          <cell r="E160">
            <v>18060680</v>
          </cell>
          <cell r="F160">
            <v>8000000</v>
          </cell>
          <cell r="G160">
            <v>0</v>
          </cell>
          <cell r="H160">
            <v>8000000</v>
          </cell>
          <cell r="I160">
            <v>5</v>
          </cell>
        </row>
        <row r="161">
          <cell r="C161">
            <v>600336103</v>
          </cell>
          <cell r="D161" t="str">
            <v>有・あさや　　　　　</v>
          </cell>
          <cell r="E161">
            <v>36644151</v>
          </cell>
          <cell r="F161">
            <v>20393076</v>
          </cell>
          <cell r="G161">
            <v>4822075</v>
          </cell>
          <cell r="H161">
            <v>25215151</v>
          </cell>
          <cell r="I161">
            <v>5</v>
          </cell>
        </row>
        <row r="162">
          <cell r="C162">
            <v>600338370</v>
          </cell>
          <cell r="D162" t="str">
            <v>有・ホリウチ機工　　</v>
          </cell>
          <cell r="E162">
            <v>1319000</v>
          </cell>
          <cell r="F162">
            <v>1000000</v>
          </cell>
          <cell r="G162">
            <v>0</v>
          </cell>
          <cell r="H162">
            <v>1000000</v>
          </cell>
          <cell r="I162">
            <v>5</v>
          </cell>
        </row>
        <row r="163">
          <cell r="C163">
            <v>600340087</v>
          </cell>
          <cell r="D163" t="str">
            <v>株・伊村製作所　　　</v>
          </cell>
          <cell r="E163">
            <v>90199233</v>
          </cell>
          <cell r="F163">
            <v>13000000</v>
          </cell>
          <cell r="G163">
            <v>0</v>
          </cell>
          <cell r="H163">
            <v>13000000</v>
          </cell>
          <cell r="I163">
            <v>3</v>
          </cell>
        </row>
        <row r="164">
          <cell r="C164">
            <v>602485636</v>
          </cell>
          <cell r="D164" t="str">
            <v>池田　富夫　　　　　</v>
          </cell>
          <cell r="E164">
            <v>69875790</v>
          </cell>
          <cell r="F164">
            <v>21000000</v>
          </cell>
          <cell r="G164">
            <v>0</v>
          </cell>
          <cell r="H164">
            <v>21000000</v>
          </cell>
          <cell r="I164">
            <v>3</v>
          </cell>
        </row>
        <row r="165">
          <cell r="C165">
            <v>602854502</v>
          </cell>
          <cell r="D165" t="str">
            <v>鷲野　正男　　　　　</v>
          </cell>
          <cell r="E165">
            <v>4338517</v>
          </cell>
          <cell r="F165">
            <v>2000000</v>
          </cell>
          <cell r="G165" t="str">
            <v/>
          </cell>
          <cell r="H165" t="e">
            <v>#VALUE!</v>
          </cell>
          <cell r="I165">
            <v>3</v>
          </cell>
        </row>
        <row r="166">
          <cell r="C166">
            <v>602906196</v>
          </cell>
          <cell r="D166" t="str">
            <v>有・毛無　　　　　　</v>
          </cell>
          <cell r="E166">
            <v>8236000</v>
          </cell>
          <cell r="F166">
            <v>10000000</v>
          </cell>
          <cell r="G166">
            <v>0</v>
          </cell>
          <cell r="H166">
            <v>10000000</v>
          </cell>
          <cell r="I166">
            <v>4</v>
          </cell>
        </row>
        <row r="167">
          <cell r="C167">
            <v>603774690</v>
          </cell>
          <cell r="D167" t="str">
            <v>有・将アンド愛　　　</v>
          </cell>
          <cell r="E167">
            <v>2140000</v>
          </cell>
          <cell r="F167">
            <v>2000000</v>
          </cell>
          <cell r="G167">
            <v>0</v>
          </cell>
          <cell r="H167">
            <v>2000000</v>
          </cell>
          <cell r="I167">
            <v>3</v>
          </cell>
        </row>
        <row r="168">
          <cell r="C168">
            <v>600305815</v>
          </cell>
          <cell r="D168" t="str">
            <v>有・定塚木工所　　　</v>
          </cell>
          <cell r="E168">
            <v>22848639</v>
          </cell>
          <cell r="F168">
            <v>3000000</v>
          </cell>
          <cell r="G168">
            <v>0</v>
          </cell>
          <cell r="H168">
            <v>3000000</v>
          </cell>
          <cell r="I168">
            <v>4</v>
          </cell>
        </row>
        <row r="169">
          <cell r="C169">
            <v>600344781</v>
          </cell>
          <cell r="D169" t="str">
            <v>株・出光工務店　　　</v>
          </cell>
          <cell r="E169">
            <v>87195000</v>
          </cell>
          <cell r="F169">
            <v>19000000</v>
          </cell>
          <cell r="G169">
            <v>0</v>
          </cell>
          <cell r="H169">
            <v>19000000</v>
          </cell>
          <cell r="I169">
            <v>4</v>
          </cell>
        </row>
        <row r="170">
          <cell r="C170">
            <v>600344792</v>
          </cell>
          <cell r="D170" t="str">
            <v>有・光英不動産　　　</v>
          </cell>
          <cell r="E170">
            <v>35057000</v>
          </cell>
          <cell r="F170">
            <v>17000000</v>
          </cell>
          <cell r="G170">
            <v>0</v>
          </cell>
          <cell r="H170">
            <v>17000000</v>
          </cell>
          <cell r="I170">
            <v>4</v>
          </cell>
        </row>
        <row r="171">
          <cell r="C171">
            <v>600344867</v>
          </cell>
          <cell r="D171" t="str">
            <v>四ヶ郷自動車・株　　</v>
          </cell>
          <cell r="E171">
            <v>22323475</v>
          </cell>
          <cell r="F171">
            <v>20000000</v>
          </cell>
          <cell r="G171">
            <v>0</v>
          </cell>
          <cell r="H171">
            <v>20000000</v>
          </cell>
          <cell r="I171">
            <v>4</v>
          </cell>
        </row>
        <row r="172">
          <cell r="C172">
            <v>600347499</v>
          </cell>
          <cell r="D172" t="str">
            <v>小林　秀一　　　　　</v>
          </cell>
          <cell r="E172">
            <v>17118000</v>
          </cell>
          <cell r="F172">
            <v>11000000</v>
          </cell>
          <cell r="G172">
            <v>0</v>
          </cell>
          <cell r="H172">
            <v>11000000</v>
          </cell>
          <cell r="I172">
            <v>5</v>
          </cell>
        </row>
        <row r="173">
          <cell r="C173">
            <v>600350061</v>
          </cell>
          <cell r="D173" t="str">
            <v>株・丸一商会　　　　</v>
          </cell>
          <cell r="E173">
            <v>394967185</v>
          </cell>
          <cell r="F173">
            <v>36000000</v>
          </cell>
          <cell r="G173">
            <v>0</v>
          </cell>
          <cell r="H173">
            <v>36000000</v>
          </cell>
          <cell r="I173">
            <v>3</v>
          </cell>
        </row>
        <row r="174">
          <cell r="C174">
            <v>600351557</v>
          </cell>
          <cell r="D174" t="str">
            <v>町田　孫次郎　　　　</v>
          </cell>
          <cell r="E174">
            <v>77724089</v>
          </cell>
          <cell r="F174">
            <v>62000000</v>
          </cell>
          <cell r="G174">
            <v>0</v>
          </cell>
          <cell r="H174">
            <v>62000000</v>
          </cell>
          <cell r="I174">
            <v>4</v>
          </cell>
        </row>
        <row r="175">
          <cell r="C175">
            <v>600353137</v>
          </cell>
          <cell r="D175" t="str">
            <v>土屋　成徳　　　　　</v>
          </cell>
          <cell r="E175">
            <v>28519939</v>
          </cell>
          <cell r="F175">
            <v>10000000</v>
          </cell>
          <cell r="G175">
            <v>0</v>
          </cell>
          <cell r="H175">
            <v>10000000</v>
          </cell>
          <cell r="I175">
            <v>3</v>
          </cell>
        </row>
        <row r="176">
          <cell r="C176">
            <v>601715957</v>
          </cell>
          <cell r="D176" t="str">
            <v>深礎工業・株　　　　</v>
          </cell>
          <cell r="E176">
            <v>197233478</v>
          </cell>
          <cell r="F176">
            <v>65000000</v>
          </cell>
          <cell r="G176">
            <v>0</v>
          </cell>
          <cell r="H176">
            <v>65000000</v>
          </cell>
          <cell r="I176">
            <v>3</v>
          </cell>
        </row>
        <row r="177">
          <cell r="C177">
            <v>601741175</v>
          </cell>
          <cell r="D177" t="str">
            <v>株・丸六鋼材店　　　</v>
          </cell>
          <cell r="E177">
            <v>25703246</v>
          </cell>
          <cell r="F177">
            <v>12851623</v>
          </cell>
          <cell r="G177">
            <v>12851623</v>
          </cell>
          <cell r="H177">
            <v>25703246</v>
          </cell>
          <cell r="I177">
            <v>5</v>
          </cell>
        </row>
        <row r="178">
          <cell r="C178">
            <v>601891667</v>
          </cell>
          <cell r="D178" t="str">
            <v>菅原　剛志　　　　　</v>
          </cell>
          <cell r="E178">
            <v>5681817</v>
          </cell>
          <cell r="F178">
            <v>4000000</v>
          </cell>
          <cell r="G178">
            <v>0</v>
          </cell>
          <cell r="H178">
            <v>4000000</v>
          </cell>
          <cell r="I178">
            <v>3</v>
          </cell>
        </row>
        <row r="179">
          <cell r="C179">
            <v>601932465</v>
          </cell>
          <cell r="D179" t="str">
            <v>有・長野エルコム　　</v>
          </cell>
          <cell r="E179">
            <v>6429073</v>
          </cell>
          <cell r="F179">
            <v>2000000</v>
          </cell>
          <cell r="G179">
            <v>0</v>
          </cell>
          <cell r="H179">
            <v>2000000</v>
          </cell>
          <cell r="I179">
            <v>4</v>
          </cell>
        </row>
        <row r="180">
          <cell r="C180">
            <v>601995602</v>
          </cell>
          <cell r="D180" t="str">
            <v>有・宮沢技建　　　　</v>
          </cell>
          <cell r="E180">
            <v>18276000</v>
          </cell>
          <cell r="F180">
            <v>1000000</v>
          </cell>
          <cell r="G180">
            <v>0</v>
          </cell>
          <cell r="H180">
            <v>1000000</v>
          </cell>
          <cell r="I180">
            <v>4</v>
          </cell>
        </row>
        <row r="181">
          <cell r="C181">
            <v>602078302</v>
          </cell>
          <cell r="D181" t="str">
            <v>加藤　裕美　　　　　</v>
          </cell>
          <cell r="E181">
            <v>0</v>
          </cell>
          <cell r="F181">
            <v>0</v>
          </cell>
          <cell r="G181">
            <v>0</v>
          </cell>
          <cell r="H181">
            <v>0</v>
          </cell>
          <cell r="I181" t="str">
            <v/>
          </cell>
        </row>
        <row r="182">
          <cell r="C182">
            <v>603368374</v>
          </cell>
          <cell r="D182" t="str">
            <v>株・スガワラ通産　　</v>
          </cell>
          <cell r="E182">
            <v>67330535</v>
          </cell>
          <cell r="F182">
            <v>12000000</v>
          </cell>
          <cell r="G182">
            <v>0</v>
          </cell>
          <cell r="H182">
            <v>12000000</v>
          </cell>
          <cell r="I182">
            <v>3</v>
          </cell>
        </row>
        <row r="183">
          <cell r="C183">
            <v>600362170</v>
          </cell>
          <cell r="D183" t="str">
            <v>株・ニユ－スト　　　</v>
          </cell>
          <cell r="E183">
            <v>1576945645</v>
          </cell>
          <cell r="F183">
            <v>499000000</v>
          </cell>
          <cell r="G183">
            <v>0</v>
          </cell>
          <cell r="H183">
            <v>499000000</v>
          </cell>
          <cell r="I183">
            <v>3</v>
          </cell>
        </row>
        <row r="184">
          <cell r="C184">
            <v>602588607</v>
          </cell>
          <cell r="D184" t="str">
            <v>システムコ－ポレ－シ</v>
          </cell>
          <cell r="E184">
            <v>7560965</v>
          </cell>
          <cell r="F184">
            <v>7000000</v>
          </cell>
          <cell r="G184">
            <v>0</v>
          </cell>
          <cell r="H184">
            <v>7000000</v>
          </cell>
          <cell r="I184">
            <v>5</v>
          </cell>
        </row>
        <row r="185">
          <cell r="C185">
            <v>600369548</v>
          </cell>
          <cell r="D185" t="str">
            <v>松代紡績・株　　　　</v>
          </cell>
          <cell r="E185">
            <v>381722349</v>
          </cell>
          <cell r="F185">
            <v>17000000</v>
          </cell>
          <cell r="G185">
            <v>0</v>
          </cell>
          <cell r="H185">
            <v>17000000</v>
          </cell>
          <cell r="I185">
            <v>3</v>
          </cell>
        </row>
        <row r="186">
          <cell r="C186">
            <v>600370616</v>
          </cell>
          <cell r="D186" t="str">
            <v>株・松鳳園　　　　　</v>
          </cell>
          <cell r="E186">
            <v>719410664</v>
          </cell>
          <cell r="F186">
            <v>274000000</v>
          </cell>
          <cell r="G186">
            <v>0</v>
          </cell>
          <cell r="H186">
            <v>274000000</v>
          </cell>
          <cell r="I186">
            <v>3</v>
          </cell>
        </row>
        <row r="187">
          <cell r="C187">
            <v>600371386</v>
          </cell>
          <cell r="D187" t="str">
            <v>有・はちの子　　　　</v>
          </cell>
          <cell r="E187">
            <v>247467878</v>
          </cell>
          <cell r="F187">
            <v>114000000</v>
          </cell>
          <cell r="G187">
            <v>0</v>
          </cell>
          <cell r="H187">
            <v>114000000</v>
          </cell>
          <cell r="I187">
            <v>3</v>
          </cell>
        </row>
        <row r="188">
          <cell r="C188">
            <v>600377040</v>
          </cell>
          <cell r="D188" t="str">
            <v>杵渕仮設・株　　　　</v>
          </cell>
          <cell r="E188">
            <v>12191630</v>
          </cell>
          <cell r="F188">
            <v>1000000</v>
          </cell>
          <cell r="G188">
            <v>0</v>
          </cell>
          <cell r="H188">
            <v>1000000</v>
          </cell>
          <cell r="I188">
            <v>4</v>
          </cell>
        </row>
        <row r="189">
          <cell r="C189">
            <v>602305200</v>
          </cell>
          <cell r="D189" t="str">
            <v>宮林　弘和　　　　　</v>
          </cell>
          <cell r="E189">
            <v>2169599</v>
          </cell>
          <cell r="F189">
            <v>2000000</v>
          </cell>
          <cell r="G189">
            <v>0</v>
          </cell>
          <cell r="H189">
            <v>2000000</v>
          </cell>
          <cell r="I189">
            <v>3</v>
          </cell>
        </row>
        <row r="190">
          <cell r="C190">
            <v>600231909</v>
          </cell>
          <cell r="D190" t="str">
            <v>有・坂口建設　　　　</v>
          </cell>
          <cell r="E190">
            <v>39217000</v>
          </cell>
          <cell r="F190">
            <v>15000000</v>
          </cell>
          <cell r="G190">
            <v>0</v>
          </cell>
          <cell r="H190">
            <v>15000000</v>
          </cell>
          <cell r="I190">
            <v>4</v>
          </cell>
        </row>
        <row r="191">
          <cell r="C191">
            <v>600392243</v>
          </cell>
          <cell r="D191" t="str">
            <v>高橋　要　　　　　　</v>
          </cell>
          <cell r="E191">
            <v>0</v>
          </cell>
          <cell r="F191">
            <v>0</v>
          </cell>
          <cell r="G191">
            <v>0</v>
          </cell>
          <cell r="H191">
            <v>0</v>
          </cell>
          <cell r="I191">
            <v>5</v>
          </cell>
        </row>
        <row r="192">
          <cell r="C192">
            <v>600394792</v>
          </cell>
          <cell r="D192" t="str">
            <v>篠ノ井建設・株　　　</v>
          </cell>
          <cell r="E192">
            <v>253011004</v>
          </cell>
          <cell r="F192">
            <v>85000000</v>
          </cell>
          <cell r="G192">
            <v>0</v>
          </cell>
          <cell r="H192">
            <v>85000000</v>
          </cell>
          <cell r="I192">
            <v>4</v>
          </cell>
        </row>
        <row r="193">
          <cell r="C193">
            <v>600403065</v>
          </cell>
          <cell r="D193" t="str">
            <v>東方　洋一　　　　　</v>
          </cell>
          <cell r="E193">
            <v>31627263</v>
          </cell>
          <cell r="F193">
            <v>0</v>
          </cell>
          <cell r="G193">
            <v>0</v>
          </cell>
          <cell r="H193">
            <v>0</v>
          </cell>
          <cell r="I193">
            <v>4</v>
          </cell>
        </row>
        <row r="194">
          <cell r="C194">
            <v>602304203</v>
          </cell>
          <cell r="D194" t="str">
            <v>株・信州健康村　　　</v>
          </cell>
          <cell r="E194">
            <v>0</v>
          </cell>
          <cell r="F194">
            <v>2000000</v>
          </cell>
          <cell r="G194">
            <v>0</v>
          </cell>
          <cell r="H194">
            <v>2000000</v>
          </cell>
          <cell r="I194">
            <v>3</v>
          </cell>
        </row>
        <row r="195">
          <cell r="C195">
            <v>603825787</v>
          </cell>
          <cell r="D195" t="str">
            <v>新長野設計・有　　　</v>
          </cell>
          <cell r="E195">
            <v>24325051</v>
          </cell>
          <cell r="F195">
            <v>7000000</v>
          </cell>
          <cell r="G195">
            <v>0</v>
          </cell>
          <cell r="H195">
            <v>7000000</v>
          </cell>
          <cell r="I195">
            <v>3</v>
          </cell>
        </row>
        <row r="196">
          <cell r="C196">
            <v>600407356</v>
          </cell>
          <cell r="D196" t="str">
            <v>長野銘醸・株　　　　</v>
          </cell>
          <cell r="E196">
            <v>246912000</v>
          </cell>
          <cell r="F196">
            <v>14000000</v>
          </cell>
          <cell r="G196">
            <v>0</v>
          </cell>
          <cell r="H196">
            <v>14000000</v>
          </cell>
          <cell r="I196">
            <v>3</v>
          </cell>
        </row>
        <row r="197">
          <cell r="C197">
            <v>600408288</v>
          </cell>
          <cell r="D197" t="str">
            <v>有・グリーンニット　</v>
          </cell>
          <cell r="E197">
            <v>14088000</v>
          </cell>
          <cell r="F197">
            <v>2000000</v>
          </cell>
          <cell r="G197">
            <v>0</v>
          </cell>
          <cell r="H197">
            <v>2000000</v>
          </cell>
          <cell r="I197">
            <v>3</v>
          </cell>
        </row>
        <row r="198">
          <cell r="C198">
            <v>600409676</v>
          </cell>
          <cell r="D198" t="str">
            <v>宮島　正宏　　　　　</v>
          </cell>
          <cell r="E198">
            <v>0</v>
          </cell>
          <cell r="F198">
            <v>0</v>
          </cell>
          <cell r="G198">
            <v>0</v>
          </cell>
          <cell r="H198">
            <v>0</v>
          </cell>
          <cell r="I198">
            <v>4</v>
          </cell>
        </row>
        <row r="199">
          <cell r="C199">
            <v>600410015</v>
          </cell>
          <cell r="D199" t="str">
            <v>有・ヤサキ鉄工　　　</v>
          </cell>
          <cell r="E199">
            <v>0</v>
          </cell>
          <cell r="F199">
            <v>0</v>
          </cell>
          <cell r="G199">
            <v>0</v>
          </cell>
          <cell r="H199">
            <v>0</v>
          </cell>
          <cell r="I199">
            <v>5</v>
          </cell>
        </row>
        <row r="200">
          <cell r="C200">
            <v>600412771</v>
          </cell>
          <cell r="D200" t="str">
            <v>信越トーカ・株　　　</v>
          </cell>
          <cell r="E200">
            <v>8945000</v>
          </cell>
          <cell r="F200">
            <v>8000000</v>
          </cell>
          <cell r="G200">
            <v>0</v>
          </cell>
          <cell r="H200">
            <v>8000000</v>
          </cell>
          <cell r="I200">
            <v>4</v>
          </cell>
        </row>
        <row r="201">
          <cell r="C201">
            <v>602131879</v>
          </cell>
          <cell r="D201" t="str">
            <v>市川　春夫　　　　　</v>
          </cell>
          <cell r="E201">
            <v>2293978</v>
          </cell>
          <cell r="F201">
            <v>2000000</v>
          </cell>
          <cell r="G201">
            <v>0</v>
          </cell>
          <cell r="H201">
            <v>2000000</v>
          </cell>
          <cell r="I201">
            <v>3</v>
          </cell>
        </row>
        <row r="202">
          <cell r="C202">
            <v>600409458</v>
          </cell>
          <cell r="D202" t="str">
            <v>坂井電機株式会社</v>
          </cell>
          <cell r="E202">
            <v>89999054</v>
          </cell>
          <cell r="F202">
            <v>23000000</v>
          </cell>
          <cell r="G202" t="str">
            <v/>
          </cell>
          <cell r="H202" t="e">
            <v>#VALUE!</v>
          </cell>
          <cell r="I202">
            <v>3</v>
          </cell>
        </row>
        <row r="203">
          <cell r="C203">
            <v>600413278</v>
          </cell>
          <cell r="D203" t="str">
            <v>長野工業・株　　　　</v>
          </cell>
          <cell r="E203">
            <v>5452375018</v>
          </cell>
          <cell r="F203">
            <v>2194000000</v>
          </cell>
          <cell r="G203">
            <v>0</v>
          </cell>
          <cell r="H203">
            <v>2194000000</v>
          </cell>
          <cell r="I203">
            <v>3</v>
          </cell>
        </row>
        <row r="204">
          <cell r="C204">
            <v>600518950</v>
          </cell>
          <cell r="D204" t="str">
            <v>宮坂　祐司　　　　　</v>
          </cell>
          <cell r="E204">
            <v>0</v>
          </cell>
          <cell r="F204">
            <v>0</v>
          </cell>
          <cell r="G204">
            <v>0</v>
          </cell>
          <cell r="H204">
            <v>0</v>
          </cell>
          <cell r="I204">
            <v>4</v>
          </cell>
        </row>
        <row r="205">
          <cell r="C205">
            <v>601742367</v>
          </cell>
          <cell r="D205" t="str">
            <v>有・クリエイティブ三</v>
          </cell>
          <cell r="E205">
            <v>118000000</v>
          </cell>
          <cell r="F205">
            <v>116000000</v>
          </cell>
          <cell r="G205">
            <v>0</v>
          </cell>
          <cell r="H205">
            <v>116000000</v>
          </cell>
          <cell r="I205">
            <v>4</v>
          </cell>
        </row>
        <row r="206">
          <cell r="C206">
            <v>602062675</v>
          </cell>
          <cell r="D206" t="str">
            <v>株・長野ハイランド　</v>
          </cell>
          <cell r="E206">
            <v>230458009</v>
          </cell>
          <cell r="F206">
            <v>145000000</v>
          </cell>
          <cell r="G206">
            <v>0</v>
          </cell>
          <cell r="H206">
            <v>145000000</v>
          </cell>
          <cell r="I206">
            <v>3</v>
          </cell>
        </row>
        <row r="207">
          <cell r="C207">
            <v>602092695</v>
          </cell>
          <cell r="D207" t="str">
            <v>小池　勇吉　　　　　</v>
          </cell>
          <cell r="E207">
            <v>58973038</v>
          </cell>
          <cell r="F207">
            <v>4000000</v>
          </cell>
          <cell r="G207">
            <v>0</v>
          </cell>
          <cell r="H207">
            <v>4000000</v>
          </cell>
          <cell r="I207">
            <v>4</v>
          </cell>
        </row>
        <row r="208">
          <cell r="C208">
            <v>600432077</v>
          </cell>
          <cell r="D208" t="str">
            <v>有・ホテル柏屋　　　</v>
          </cell>
          <cell r="E208">
            <v>329803000</v>
          </cell>
          <cell r="F208">
            <v>60000000</v>
          </cell>
          <cell r="G208">
            <v>0</v>
          </cell>
          <cell r="H208">
            <v>60000000</v>
          </cell>
          <cell r="I208">
            <v>3</v>
          </cell>
        </row>
        <row r="209">
          <cell r="C209">
            <v>600432120</v>
          </cell>
          <cell r="D209" t="str">
            <v>株・荻原館　　　　　</v>
          </cell>
          <cell r="E209">
            <v>379552580</v>
          </cell>
          <cell r="F209">
            <v>125000000</v>
          </cell>
          <cell r="G209">
            <v>0</v>
          </cell>
          <cell r="H209">
            <v>125000000</v>
          </cell>
          <cell r="I209">
            <v>3</v>
          </cell>
        </row>
        <row r="210">
          <cell r="C210">
            <v>600436891</v>
          </cell>
          <cell r="D210" t="str">
            <v>三澤　千鶴子　　　　</v>
          </cell>
          <cell r="E210">
            <v>52358326</v>
          </cell>
          <cell r="F210">
            <v>14000000</v>
          </cell>
          <cell r="G210">
            <v>0</v>
          </cell>
          <cell r="H210">
            <v>14000000</v>
          </cell>
          <cell r="I210">
            <v>4</v>
          </cell>
        </row>
        <row r="211">
          <cell r="C211">
            <v>600439272</v>
          </cell>
          <cell r="D211" t="str">
            <v>小松食品・株　　　　</v>
          </cell>
          <cell r="E211">
            <v>586961000</v>
          </cell>
          <cell r="F211">
            <v>237000000</v>
          </cell>
          <cell r="G211">
            <v>0</v>
          </cell>
          <cell r="H211">
            <v>237000000</v>
          </cell>
          <cell r="I211">
            <v>4</v>
          </cell>
        </row>
        <row r="212">
          <cell r="C212">
            <v>600439392</v>
          </cell>
          <cell r="D212" t="str">
            <v>株・川瀬　　　　　　</v>
          </cell>
          <cell r="E212">
            <v>208460000</v>
          </cell>
          <cell r="F212">
            <v>33000000</v>
          </cell>
          <cell r="G212">
            <v>0</v>
          </cell>
          <cell r="H212">
            <v>33000000</v>
          </cell>
          <cell r="I212">
            <v>3</v>
          </cell>
        </row>
        <row r="213">
          <cell r="C213">
            <v>600440633</v>
          </cell>
          <cell r="D213" t="str">
            <v>小松　頼正　　　　　</v>
          </cell>
          <cell r="E213">
            <v>4875461</v>
          </cell>
          <cell r="F213">
            <v>3000000</v>
          </cell>
          <cell r="G213">
            <v>0</v>
          </cell>
          <cell r="H213">
            <v>3000000</v>
          </cell>
          <cell r="I213">
            <v>4</v>
          </cell>
        </row>
        <row r="214">
          <cell r="C214">
            <v>600442562</v>
          </cell>
          <cell r="D214" t="str">
            <v>宮本　幸雄　　　　　</v>
          </cell>
          <cell r="E214">
            <v>2809163</v>
          </cell>
          <cell r="F214">
            <v>2000000</v>
          </cell>
          <cell r="G214">
            <v>0</v>
          </cell>
          <cell r="H214">
            <v>2000000</v>
          </cell>
          <cell r="I214">
            <v>4</v>
          </cell>
        </row>
        <row r="215">
          <cell r="C215">
            <v>601743037</v>
          </cell>
          <cell r="D215" t="str">
            <v>株式会社エッチジーシ</v>
          </cell>
          <cell r="E215">
            <v>18178034</v>
          </cell>
          <cell r="F215">
            <v>2000000</v>
          </cell>
          <cell r="G215" t="str">
            <v/>
          </cell>
          <cell r="H215" t="e">
            <v>#VALUE!</v>
          </cell>
          <cell r="I215">
            <v>4</v>
          </cell>
        </row>
        <row r="216">
          <cell r="C216">
            <v>602039969</v>
          </cell>
          <cell r="D216" t="str">
            <v>株・瀬在　　　　　　</v>
          </cell>
          <cell r="E216">
            <v>16230000</v>
          </cell>
          <cell r="F216">
            <v>4000000</v>
          </cell>
          <cell r="G216">
            <v>0</v>
          </cell>
          <cell r="H216">
            <v>4000000</v>
          </cell>
          <cell r="I216">
            <v>3</v>
          </cell>
        </row>
        <row r="217">
          <cell r="C217">
            <v>602116523</v>
          </cell>
          <cell r="D217" t="str">
            <v>児玉商産・株　　　　</v>
          </cell>
          <cell r="E217">
            <v>406304803</v>
          </cell>
          <cell r="F217">
            <v>197000000</v>
          </cell>
          <cell r="G217">
            <v>0</v>
          </cell>
          <cell r="H217">
            <v>197000000</v>
          </cell>
          <cell r="I217">
            <v>3</v>
          </cell>
        </row>
        <row r="218">
          <cell r="C218">
            <v>602339968</v>
          </cell>
          <cell r="D218" t="str">
            <v>株・サン．ベルデ　　</v>
          </cell>
          <cell r="E218">
            <v>10450000</v>
          </cell>
          <cell r="F218">
            <v>10000000</v>
          </cell>
          <cell r="G218">
            <v>0</v>
          </cell>
          <cell r="H218">
            <v>10000000</v>
          </cell>
          <cell r="I218">
            <v>4</v>
          </cell>
        </row>
        <row r="219">
          <cell r="C219">
            <v>602624444</v>
          </cell>
          <cell r="D219" t="str">
            <v>窪田　豊機　　　　　</v>
          </cell>
          <cell r="E219">
            <v>6579443</v>
          </cell>
          <cell r="F219">
            <v>1000000</v>
          </cell>
          <cell r="G219">
            <v>0</v>
          </cell>
          <cell r="H219">
            <v>1000000</v>
          </cell>
          <cell r="I219">
            <v>4</v>
          </cell>
        </row>
        <row r="220">
          <cell r="C220">
            <v>602887827</v>
          </cell>
          <cell r="D220" t="str">
            <v>有・南秀商事　　　　</v>
          </cell>
          <cell r="E220">
            <v>6583600</v>
          </cell>
          <cell r="F220">
            <v>2000000</v>
          </cell>
          <cell r="G220" t="str">
            <v/>
          </cell>
          <cell r="H220" t="e">
            <v>#VALUE!</v>
          </cell>
          <cell r="I220">
            <v>3</v>
          </cell>
        </row>
        <row r="221">
          <cell r="C221">
            <v>600357004</v>
          </cell>
          <cell r="D221" t="str">
            <v>有・千野酒造場　　　</v>
          </cell>
          <cell r="E221">
            <v>258941000</v>
          </cell>
          <cell r="F221">
            <v>22000000</v>
          </cell>
          <cell r="G221">
            <v>0</v>
          </cell>
          <cell r="H221">
            <v>22000000</v>
          </cell>
          <cell r="I221">
            <v>3</v>
          </cell>
        </row>
        <row r="222">
          <cell r="C222">
            <v>600448075</v>
          </cell>
          <cell r="D222" t="str">
            <v>竹中建設・株　　　　</v>
          </cell>
          <cell r="E222">
            <v>123349487</v>
          </cell>
          <cell r="F222">
            <v>69000000</v>
          </cell>
          <cell r="G222">
            <v>0</v>
          </cell>
          <cell r="H222">
            <v>69000000</v>
          </cell>
          <cell r="I222">
            <v>4</v>
          </cell>
        </row>
        <row r="223">
          <cell r="C223">
            <v>600448400</v>
          </cell>
          <cell r="D223" t="str">
            <v>間下　則穂　　　　　</v>
          </cell>
          <cell r="E223">
            <v>1161000</v>
          </cell>
          <cell r="F223">
            <v>1000000</v>
          </cell>
          <cell r="G223">
            <v>0</v>
          </cell>
          <cell r="H223">
            <v>1000000</v>
          </cell>
          <cell r="I223">
            <v>5</v>
          </cell>
        </row>
        <row r="224">
          <cell r="C224">
            <v>600449963</v>
          </cell>
          <cell r="D224" t="str">
            <v>竹中　正　　　　　　</v>
          </cell>
          <cell r="E224">
            <v>28743425</v>
          </cell>
          <cell r="F224">
            <v>20000000</v>
          </cell>
          <cell r="G224">
            <v>0</v>
          </cell>
          <cell r="H224">
            <v>20000000</v>
          </cell>
          <cell r="I224">
            <v>4</v>
          </cell>
        </row>
        <row r="225">
          <cell r="C225">
            <v>600453152</v>
          </cell>
          <cell r="D225" t="str">
            <v>有・朝倉組　　　　　</v>
          </cell>
          <cell r="E225">
            <v>3680000</v>
          </cell>
          <cell r="F225">
            <v>1000000</v>
          </cell>
          <cell r="G225">
            <v>0</v>
          </cell>
          <cell r="H225">
            <v>1000000</v>
          </cell>
          <cell r="I225">
            <v>4</v>
          </cell>
        </row>
        <row r="226">
          <cell r="C226">
            <v>600457943</v>
          </cell>
          <cell r="D226" t="str">
            <v>有・杉浦兄弟商会　　</v>
          </cell>
          <cell r="E226">
            <v>11776084</v>
          </cell>
          <cell r="F226">
            <v>8000000</v>
          </cell>
          <cell r="G226">
            <v>0</v>
          </cell>
          <cell r="H226">
            <v>8000000</v>
          </cell>
          <cell r="I226">
            <v>4</v>
          </cell>
        </row>
        <row r="227">
          <cell r="C227">
            <v>600460875</v>
          </cell>
          <cell r="D227" t="str">
            <v>株・スギウラ　　　　</v>
          </cell>
          <cell r="E227">
            <v>522460000</v>
          </cell>
          <cell r="F227">
            <v>315000000</v>
          </cell>
          <cell r="G227">
            <v>0</v>
          </cell>
          <cell r="H227">
            <v>315000000</v>
          </cell>
          <cell r="I227">
            <v>4</v>
          </cell>
        </row>
        <row r="228">
          <cell r="C228">
            <v>602700609</v>
          </cell>
          <cell r="D228" t="str">
            <v>有・岡ノ原工業　　　</v>
          </cell>
          <cell r="E228">
            <v>11267779</v>
          </cell>
          <cell r="F228">
            <v>10000000</v>
          </cell>
          <cell r="G228">
            <v>0</v>
          </cell>
          <cell r="H228">
            <v>10000000</v>
          </cell>
          <cell r="I228">
            <v>4</v>
          </cell>
        </row>
        <row r="229">
          <cell r="C229">
            <v>600465727</v>
          </cell>
          <cell r="D229" t="str">
            <v>柳屋建設・株　　　　</v>
          </cell>
          <cell r="E229">
            <v>2358000000</v>
          </cell>
          <cell r="F229">
            <v>896000000</v>
          </cell>
          <cell r="G229" t="str">
            <v/>
          </cell>
          <cell r="H229" t="e">
            <v>#VALUE!</v>
          </cell>
          <cell r="I229">
            <v>3</v>
          </cell>
        </row>
        <row r="230">
          <cell r="C230">
            <v>600469476</v>
          </cell>
          <cell r="D230" t="str">
            <v>寿精工・株　　　　　</v>
          </cell>
          <cell r="E230">
            <v>375032786</v>
          </cell>
          <cell r="F230">
            <v>49000000</v>
          </cell>
          <cell r="G230">
            <v>0</v>
          </cell>
          <cell r="H230">
            <v>49000000</v>
          </cell>
          <cell r="I230">
            <v>5</v>
          </cell>
        </row>
        <row r="231">
          <cell r="C231">
            <v>600479525</v>
          </cell>
          <cell r="D231" t="str">
            <v>株・軽井沢プラザホテ</v>
          </cell>
          <cell r="E231">
            <v>929510000</v>
          </cell>
          <cell r="F231">
            <v>660000000</v>
          </cell>
          <cell r="G231">
            <v>0</v>
          </cell>
          <cell r="H231">
            <v>660000000</v>
          </cell>
          <cell r="I231">
            <v>4</v>
          </cell>
        </row>
        <row r="232">
          <cell r="C232">
            <v>600493743</v>
          </cell>
          <cell r="D232" t="str">
            <v>株・瀬川園　　　　　</v>
          </cell>
          <cell r="E232">
            <v>86215000</v>
          </cell>
          <cell r="F232">
            <v>7000000</v>
          </cell>
          <cell r="G232">
            <v>0</v>
          </cell>
          <cell r="H232">
            <v>7000000</v>
          </cell>
          <cell r="I232">
            <v>3</v>
          </cell>
        </row>
        <row r="233">
          <cell r="C233">
            <v>600513704</v>
          </cell>
          <cell r="D233" t="str">
            <v>小島総業・株　　　　</v>
          </cell>
          <cell r="E233">
            <v>70000000</v>
          </cell>
          <cell r="F233">
            <v>14000000</v>
          </cell>
          <cell r="G233">
            <v>0</v>
          </cell>
          <cell r="H233">
            <v>14000000</v>
          </cell>
          <cell r="I233">
            <v>3</v>
          </cell>
        </row>
        <row r="234">
          <cell r="C234">
            <v>600516010</v>
          </cell>
          <cell r="D234" t="str">
            <v>有・プレスメンテナン</v>
          </cell>
          <cell r="E234">
            <v>23910000</v>
          </cell>
          <cell r="F234">
            <v>0</v>
          </cell>
          <cell r="G234">
            <v>0</v>
          </cell>
          <cell r="H234">
            <v>0</v>
          </cell>
          <cell r="I234">
            <v>4</v>
          </cell>
        </row>
        <row r="235">
          <cell r="C235">
            <v>600590429</v>
          </cell>
          <cell r="D235" t="str">
            <v>西沢　克　　　　　　</v>
          </cell>
          <cell r="E235">
            <v>0</v>
          </cell>
          <cell r="F235">
            <v>0</v>
          </cell>
          <cell r="G235">
            <v>0</v>
          </cell>
          <cell r="H235">
            <v>0</v>
          </cell>
          <cell r="I235">
            <v>4</v>
          </cell>
        </row>
        <row r="236">
          <cell r="C236">
            <v>600596507</v>
          </cell>
          <cell r="D236" t="str">
            <v>有・創元舎　　　　　</v>
          </cell>
          <cell r="E236">
            <v>113757386</v>
          </cell>
          <cell r="F236">
            <v>84000000</v>
          </cell>
          <cell r="G236">
            <v>0</v>
          </cell>
          <cell r="H236">
            <v>84000000</v>
          </cell>
          <cell r="I236">
            <v>5</v>
          </cell>
        </row>
        <row r="237">
          <cell r="C237">
            <v>600597179</v>
          </cell>
          <cell r="D237" t="str">
            <v>株・ケイデイエヌ・ト</v>
          </cell>
          <cell r="E237">
            <v>0</v>
          </cell>
          <cell r="F237">
            <v>0</v>
          </cell>
          <cell r="G237">
            <v>0</v>
          </cell>
          <cell r="H237">
            <v>0</v>
          </cell>
          <cell r="I237">
            <v>5</v>
          </cell>
        </row>
        <row r="238">
          <cell r="C238">
            <v>601670575</v>
          </cell>
          <cell r="D238" t="str">
            <v>市川　晋平　　　　　</v>
          </cell>
          <cell r="E238">
            <v>15387329</v>
          </cell>
          <cell r="F238">
            <v>15000000</v>
          </cell>
          <cell r="G238">
            <v>0</v>
          </cell>
          <cell r="H238">
            <v>15000000</v>
          </cell>
          <cell r="I238">
            <v>4</v>
          </cell>
        </row>
        <row r="239">
          <cell r="C239">
            <v>602373524</v>
          </cell>
          <cell r="D239" t="str">
            <v>株・和田源　　　　　</v>
          </cell>
          <cell r="E239">
            <v>13175964</v>
          </cell>
          <cell r="F239">
            <v>13000000</v>
          </cell>
          <cell r="G239">
            <v>0</v>
          </cell>
          <cell r="H239">
            <v>13000000</v>
          </cell>
          <cell r="I239">
            <v>4</v>
          </cell>
        </row>
        <row r="240">
          <cell r="C240">
            <v>600509124</v>
          </cell>
          <cell r="D240" t="str">
            <v>株・中野農蚕社　　　</v>
          </cell>
          <cell r="E240">
            <v>203750000</v>
          </cell>
          <cell r="F240">
            <v>50000000</v>
          </cell>
          <cell r="G240">
            <v>0</v>
          </cell>
          <cell r="H240">
            <v>50000000</v>
          </cell>
          <cell r="I240">
            <v>4</v>
          </cell>
        </row>
        <row r="241">
          <cell r="C241">
            <v>600513139</v>
          </cell>
          <cell r="D241" t="str">
            <v>増田機械工業・株　　</v>
          </cell>
          <cell r="E241">
            <v>51300000</v>
          </cell>
          <cell r="F241">
            <v>8000000</v>
          </cell>
          <cell r="G241">
            <v>0</v>
          </cell>
          <cell r="H241">
            <v>8000000</v>
          </cell>
          <cell r="I241">
            <v>4</v>
          </cell>
        </row>
        <row r="242">
          <cell r="C242">
            <v>600513237</v>
          </cell>
          <cell r="D242" t="str">
            <v>株・オギノ　　　　　</v>
          </cell>
          <cell r="E242">
            <v>180488481</v>
          </cell>
          <cell r="F242">
            <v>119000000</v>
          </cell>
          <cell r="G242">
            <v>0</v>
          </cell>
          <cell r="H242">
            <v>119000000</v>
          </cell>
          <cell r="I242">
            <v>4</v>
          </cell>
        </row>
        <row r="243">
          <cell r="C243">
            <v>600517300</v>
          </cell>
          <cell r="D243" t="str">
            <v>塚田貸衣裳・株　　　</v>
          </cell>
          <cell r="E243">
            <v>116648000</v>
          </cell>
          <cell r="F243">
            <v>8000000</v>
          </cell>
          <cell r="G243">
            <v>0</v>
          </cell>
          <cell r="H243">
            <v>8000000</v>
          </cell>
          <cell r="I243">
            <v>3</v>
          </cell>
        </row>
        <row r="244">
          <cell r="C244">
            <v>600518949</v>
          </cell>
          <cell r="D244" t="str">
            <v>有・アズマヤ　　　　</v>
          </cell>
          <cell r="E244">
            <v>14575000</v>
          </cell>
          <cell r="F244">
            <v>2000000</v>
          </cell>
          <cell r="G244">
            <v>0</v>
          </cell>
          <cell r="H244">
            <v>2000000</v>
          </cell>
          <cell r="I244">
            <v>3</v>
          </cell>
        </row>
        <row r="245">
          <cell r="C245">
            <v>602080086</v>
          </cell>
          <cell r="D245" t="str">
            <v>岩上　繁　　　　　　</v>
          </cell>
          <cell r="E245">
            <v>28136659</v>
          </cell>
          <cell r="F245">
            <v>25000000</v>
          </cell>
          <cell r="G245">
            <v>0</v>
          </cell>
          <cell r="H245">
            <v>25000000</v>
          </cell>
          <cell r="I245">
            <v>4</v>
          </cell>
        </row>
        <row r="246">
          <cell r="C246">
            <v>600535679</v>
          </cell>
          <cell r="D246" t="str">
            <v>カトー自動車販売・株</v>
          </cell>
          <cell r="E246">
            <v>20500000</v>
          </cell>
          <cell r="F246">
            <v>2000000</v>
          </cell>
          <cell r="G246">
            <v>0</v>
          </cell>
          <cell r="H246">
            <v>2000000</v>
          </cell>
          <cell r="I246">
            <v>3</v>
          </cell>
        </row>
        <row r="247">
          <cell r="C247">
            <v>600535886</v>
          </cell>
          <cell r="D247" t="str">
            <v>佐藤　康夫　　　　　</v>
          </cell>
          <cell r="E247">
            <v>5096585</v>
          </cell>
          <cell r="F247">
            <v>2000000</v>
          </cell>
          <cell r="G247">
            <v>0</v>
          </cell>
          <cell r="H247">
            <v>2000000</v>
          </cell>
          <cell r="I247">
            <v>4</v>
          </cell>
        </row>
        <row r="248">
          <cell r="C248">
            <v>600539177</v>
          </cell>
          <cell r="D248" t="str">
            <v>有・徳田製作所　　　</v>
          </cell>
          <cell r="E248">
            <v>14940000</v>
          </cell>
          <cell r="F248">
            <v>2000000</v>
          </cell>
          <cell r="G248">
            <v>0</v>
          </cell>
          <cell r="H248">
            <v>2000000</v>
          </cell>
          <cell r="I248">
            <v>3</v>
          </cell>
        </row>
        <row r="249">
          <cell r="C249">
            <v>600539568</v>
          </cell>
          <cell r="D249" t="str">
            <v>内藤建設・株　　　　</v>
          </cell>
          <cell r="E249">
            <v>163886000</v>
          </cell>
          <cell r="F249">
            <v>6000000</v>
          </cell>
          <cell r="G249">
            <v>0</v>
          </cell>
          <cell r="H249">
            <v>6000000</v>
          </cell>
          <cell r="I249">
            <v>3</v>
          </cell>
        </row>
        <row r="250">
          <cell r="C250">
            <v>600541362</v>
          </cell>
          <cell r="D250" t="str">
            <v>菅沼　克博　　　　　</v>
          </cell>
          <cell r="E250">
            <v>3729263</v>
          </cell>
          <cell r="F250">
            <v>3000000</v>
          </cell>
          <cell r="G250">
            <v>0</v>
          </cell>
          <cell r="H250">
            <v>3000000</v>
          </cell>
          <cell r="I250">
            <v>5</v>
          </cell>
        </row>
        <row r="251">
          <cell r="C251">
            <v>602679863</v>
          </cell>
          <cell r="D251" t="str">
            <v>株・ホテル岩屋館　　</v>
          </cell>
          <cell r="E251">
            <v>129608000</v>
          </cell>
          <cell r="F251">
            <v>39000000</v>
          </cell>
          <cell r="G251">
            <v>0</v>
          </cell>
          <cell r="H251">
            <v>39000000</v>
          </cell>
          <cell r="I251">
            <v>3</v>
          </cell>
        </row>
        <row r="252">
          <cell r="C252">
            <v>600545424</v>
          </cell>
          <cell r="D252" t="str">
            <v>前所　安喜　　　　　</v>
          </cell>
          <cell r="E252">
            <v>10810000</v>
          </cell>
          <cell r="F252">
            <v>10000000</v>
          </cell>
          <cell r="G252">
            <v>0</v>
          </cell>
          <cell r="H252">
            <v>10000000</v>
          </cell>
          <cell r="I252">
            <v>4</v>
          </cell>
        </row>
        <row r="253">
          <cell r="C253">
            <v>600548970</v>
          </cell>
          <cell r="D253" t="str">
            <v>有・大丸呉服店　　　</v>
          </cell>
          <cell r="E253">
            <v>0</v>
          </cell>
          <cell r="F253">
            <v>0</v>
          </cell>
          <cell r="G253">
            <v>0</v>
          </cell>
          <cell r="H253">
            <v>0</v>
          </cell>
          <cell r="I253" t="str">
            <v/>
          </cell>
        </row>
        <row r="254">
          <cell r="C254">
            <v>600550056</v>
          </cell>
          <cell r="D254" t="str">
            <v>有・山本小屋　　　　</v>
          </cell>
          <cell r="E254">
            <v>176520000</v>
          </cell>
          <cell r="F254">
            <v>154000000</v>
          </cell>
          <cell r="G254">
            <v>0</v>
          </cell>
          <cell r="H254">
            <v>154000000</v>
          </cell>
          <cell r="I254">
            <v>4</v>
          </cell>
        </row>
        <row r="255">
          <cell r="C255">
            <v>600552854</v>
          </cell>
          <cell r="D255" t="str">
            <v>有・斉藤旅館　　　　</v>
          </cell>
          <cell r="E255">
            <v>1471250000</v>
          </cell>
          <cell r="F255">
            <v>659000000</v>
          </cell>
          <cell r="G255">
            <v>0</v>
          </cell>
          <cell r="H255">
            <v>659000000</v>
          </cell>
          <cell r="I255">
            <v>3</v>
          </cell>
        </row>
        <row r="256">
          <cell r="C256">
            <v>600555268</v>
          </cell>
          <cell r="D256" t="str">
            <v>ア－スビルト・株　　</v>
          </cell>
          <cell r="E256">
            <v>3124038</v>
          </cell>
          <cell r="F256">
            <v>1562019</v>
          </cell>
          <cell r="G256">
            <v>1562019</v>
          </cell>
          <cell r="H256">
            <v>3124038</v>
          </cell>
          <cell r="I256">
            <v>5</v>
          </cell>
        </row>
        <row r="257">
          <cell r="C257">
            <v>600560781</v>
          </cell>
          <cell r="D257" t="str">
            <v>深井産業・株　　　　</v>
          </cell>
          <cell r="E257">
            <v>0</v>
          </cell>
          <cell r="F257">
            <v>0</v>
          </cell>
          <cell r="G257">
            <v>0</v>
          </cell>
          <cell r="H257">
            <v>0</v>
          </cell>
          <cell r="I257">
            <v>5</v>
          </cell>
        </row>
        <row r="258">
          <cell r="C258">
            <v>600561124</v>
          </cell>
          <cell r="D258" t="str">
            <v>深井　賢一　　　　　</v>
          </cell>
          <cell r="E258">
            <v>0</v>
          </cell>
          <cell r="F258">
            <v>0</v>
          </cell>
          <cell r="G258">
            <v>0</v>
          </cell>
          <cell r="H258">
            <v>0</v>
          </cell>
          <cell r="I258">
            <v>5</v>
          </cell>
        </row>
        <row r="259">
          <cell r="C259">
            <v>601922218</v>
          </cell>
          <cell r="D259" t="str">
            <v>有・丸越商店　　　　</v>
          </cell>
          <cell r="E259">
            <v>31000000</v>
          </cell>
          <cell r="F259">
            <v>0</v>
          </cell>
          <cell r="G259">
            <v>0</v>
          </cell>
          <cell r="H259">
            <v>0</v>
          </cell>
          <cell r="I259">
            <v>3</v>
          </cell>
        </row>
        <row r="260">
          <cell r="C260">
            <v>602470462</v>
          </cell>
          <cell r="D260" t="str">
            <v>東和精機・株　　　　</v>
          </cell>
          <cell r="E260">
            <v>0</v>
          </cell>
          <cell r="F260">
            <v>0</v>
          </cell>
          <cell r="G260">
            <v>0</v>
          </cell>
          <cell r="H260">
            <v>0</v>
          </cell>
          <cell r="I260">
            <v>4</v>
          </cell>
        </row>
        <row r="261">
          <cell r="C261">
            <v>603395826</v>
          </cell>
          <cell r="D261" t="str">
            <v>武石運輸・株　　　　</v>
          </cell>
          <cell r="E261">
            <v>17923000</v>
          </cell>
          <cell r="F261">
            <v>7000000</v>
          </cell>
          <cell r="G261">
            <v>0</v>
          </cell>
          <cell r="H261">
            <v>7000000</v>
          </cell>
          <cell r="I261">
            <v>3</v>
          </cell>
        </row>
        <row r="262">
          <cell r="C262">
            <v>603470408</v>
          </cell>
          <cell r="D262" t="str">
            <v>小林　健治　　　　　</v>
          </cell>
          <cell r="E262">
            <v>965492</v>
          </cell>
          <cell r="F262">
            <v>0</v>
          </cell>
          <cell r="G262">
            <v>0</v>
          </cell>
          <cell r="H262">
            <v>0</v>
          </cell>
          <cell r="I262">
            <v>5</v>
          </cell>
        </row>
        <row r="263">
          <cell r="C263">
            <v>600570449</v>
          </cell>
          <cell r="D263" t="str">
            <v>山越　勇次　　　　　</v>
          </cell>
          <cell r="E263">
            <v>28416000</v>
          </cell>
          <cell r="F263">
            <v>5000000</v>
          </cell>
          <cell r="G263">
            <v>0</v>
          </cell>
          <cell r="H263">
            <v>5000000</v>
          </cell>
          <cell r="I263">
            <v>4</v>
          </cell>
        </row>
        <row r="264">
          <cell r="C264">
            <v>600571860</v>
          </cell>
          <cell r="D264" t="str">
            <v>柳沢　美枝子　　　　</v>
          </cell>
          <cell r="E264">
            <v>2155000</v>
          </cell>
          <cell r="F264">
            <v>2000000</v>
          </cell>
          <cell r="G264">
            <v>0</v>
          </cell>
          <cell r="H264">
            <v>2000000</v>
          </cell>
          <cell r="I264">
            <v>4</v>
          </cell>
        </row>
        <row r="265">
          <cell r="C265">
            <v>600575019</v>
          </cell>
          <cell r="D265" t="str">
            <v>小林　幸介　　　　　</v>
          </cell>
          <cell r="E265">
            <v>0</v>
          </cell>
          <cell r="F265">
            <v>0</v>
          </cell>
          <cell r="G265">
            <v>0</v>
          </cell>
          <cell r="H265">
            <v>0</v>
          </cell>
          <cell r="I265" t="str">
            <v/>
          </cell>
        </row>
        <row r="266">
          <cell r="C266">
            <v>600575813</v>
          </cell>
          <cell r="D266" t="str">
            <v>満木　四郎　　　　　</v>
          </cell>
          <cell r="E266">
            <v>2742282</v>
          </cell>
          <cell r="F266">
            <v>0</v>
          </cell>
          <cell r="G266">
            <v>0</v>
          </cell>
          <cell r="H266">
            <v>0</v>
          </cell>
          <cell r="I266">
            <v>3</v>
          </cell>
        </row>
        <row r="267">
          <cell r="C267">
            <v>600576407</v>
          </cell>
          <cell r="D267" t="str">
            <v>有・飯島組　　　　　</v>
          </cell>
          <cell r="E267">
            <v>52009120</v>
          </cell>
          <cell r="F267">
            <v>47000000</v>
          </cell>
          <cell r="G267">
            <v>0</v>
          </cell>
          <cell r="H267">
            <v>47000000</v>
          </cell>
          <cell r="I267">
            <v>5</v>
          </cell>
        </row>
        <row r="268">
          <cell r="C268">
            <v>600576594</v>
          </cell>
          <cell r="D268" t="str">
            <v>佐藤　隆夫　　　　　</v>
          </cell>
          <cell r="E268">
            <v>2409049</v>
          </cell>
          <cell r="F268">
            <v>0</v>
          </cell>
          <cell r="G268">
            <v>0</v>
          </cell>
          <cell r="H268">
            <v>0</v>
          </cell>
          <cell r="I268">
            <v>5</v>
          </cell>
        </row>
        <row r="269">
          <cell r="C269">
            <v>600577166</v>
          </cell>
          <cell r="D269" t="str">
            <v>有・信州ファ－ムサ－</v>
          </cell>
          <cell r="E269">
            <v>19440000</v>
          </cell>
          <cell r="F269">
            <v>10000000</v>
          </cell>
          <cell r="G269">
            <v>0</v>
          </cell>
          <cell r="H269">
            <v>10000000</v>
          </cell>
          <cell r="I269">
            <v>4</v>
          </cell>
        </row>
        <row r="270">
          <cell r="C270">
            <v>600578629</v>
          </cell>
          <cell r="D270" t="str">
            <v>株・ケミテック　　　</v>
          </cell>
          <cell r="E270">
            <v>275779965</v>
          </cell>
          <cell r="F270">
            <v>122266283</v>
          </cell>
          <cell r="G270">
            <v>122266282</v>
          </cell>
          <cell r="H270">
            <v>244532565</v>
          </cell>
          <cell r="I270">
            <v>5</v>
          </cell>
        </row>
        <row r="271">
          <cell r="C271">
            <v>600482262</v>
          </cell>
          <cell r="D271" t="str">
            <v>田中　昭男　　　　　</v>
          </cell>
          <cell r="E271">
            <v>0</v>
          </cell>
          <cell r="F271">
            <v>0</v>
          </cell>
          <cell r="G271">
            <v>0</v>
          </cell>
          <cell r="H271">
            <v>0</v>
          </cell>
          <cell r="I271">
            <v>4</v>
          </cell>
        </row>
        <row r="272">
          <cell r="C272">
            <v>600518352</v>
          </cell>
          <cell r="D272" t="str">
            <v>ハリコム・株　　　　</v>
          </cell>
          <cell r="E272">
            <v>12270873</v>
          </cell>
          <cell r="F272">
            <v>1000000</v>
          </cell>
          <cell r="G272">
            <v>0</v>
          </cell>
          <cell r="H272">
            <v>1000000</v>
          </cell>
          <cell r="I272">
            <v>3</v>
          </cell>
        </row>
        <row r="273">
          <cell r="C273">
            <v>600589144</v>
          </cell>
          <cell r="D273" t="str">
            <v>三輪　泰清　　　　　</v>
          </cell>
          <cell r="E273">
            <v>99500000</v>
          </cell>
          <cell r="F273">
            <v>10000000</v>
          </cell>
          <cell r="G273">
            <v>0</v>
          </cell>
          <cell r="H273">
            <v>10000000</v>
          </cell>
          <cell r="I273">
            <v>4</v>
          </cell>
        </row>
        <row r="274">
          <cell r="C274">
            <v>600591373</v>
          </cell>
          <cell r="D274" t="str">
            <v>小清水　仙之助　　　</v>
          </cell>
          <cell r="E274">
            <v>6666000</v>
          </cell>
          <cell r="F274">
            <v>6000000</v>
          </cell>
          <cell r="G274">
            <v>0</v>
          </cell>
          <cell r="H274">
            <v>6000000</v>
          </cell>
          <cell r="I274">
            <v>4</v>
          </cell>
        </row>
        <row r="275">
          <cell r="C275">
            <v>600593408</v>
          </cell>
          <cell r="D275" t="str">
            <v>柄澤　放矢郎　　　　</v>
          </cell>
          <cell r="E275">
            <v>2610000</v>
          </cell>
          <cell r="F275">
            <v>2000000</v>
          </cell>
          <cell r="G275">
            <v>0</v>
          </cell>
          <cell r="H275">
            <v>2000000</v>
          </cell>
          <cell r="I275">
            <v>4</v>
          </cell>
        </row>
        <row r="276">
          <cell r="C276">
            <v>600594896</v>
          </cell>
          <cell r="D276" t="str">
            <v>荒井　政幸　　　　　</v>
          </cell>
          <cell r="E276">
            <v>3920688</v>
          </cell>
          <cell r="F276">
            <v>3000000</v>
          </cell>
          <cell r="G276">
            <v>0</v>
          </cell>
          <cell r="H276">
            <v>3000000</v>
          </cell>
          <cell r="I276">
            <v>5</v>
          </cell>
        </row>
        <row r="277">
          <cell r="C277">
            <v>600597093</v>
          </cell>
          <cell r="D277" t="str">
            <v>吉栄建設・株　　　　</v>
          </cell>
          <cell r="E277">
            <v>26942017</v>
          </cell>
          <cell r="F277">
            <v>23000000</v>
          </cell>
          <cell r="G277">
            <v>0</v>
          </cell>
          <cell r="H277">
            <v>23000000</v>
          </cell>
          <cell r="I277">
            <v>5</v>
          </cell>
        </row>
        <row r="278">
          <cell r="C278">
            <v>601746027</v>
          </cell>
          <cell r="D278" t="str">
            <v>斉藤　政子　　　　　</v>
          </cell>
          <cell r="E278">
            <v>0</v>
          </cell>
          <cell r="F278">
            <v>0</v>
          </cell>
          <cell r="G278">
            <v>0</v>
          </cell>
          <cell r="H278">
            <v>0</v>
          </cell>
          <cell r="I278">
            <v>4</v>
          </cell>
        </row>
        <row r="279">
          <cell r="C279">
            <v>601834955</v>
          </cell>
          <cell r="D279" t="str">
            <v>長野放電・有　　　　</v>
          </cell>
          <cell r="E279">
            <v>31122800</v>
          </cell>
          <cell r="F279">
            <v>9000000</v>
          </cell>
          <cell r="G279">
            <v>0</v>
          </cell>
          <cell r="H279">
            <v>9000000</v>
          </cell>
          <cell r="I279">
            <v>4</v>
          </cell>
        </row>
        <row r="280">
          <cell r="C280">
            <v>602023601</v>
          </cell>
          <cell r="D280" t="str">
            <v>株・ヤマミ　　　　　</v>
          </cell>
          <cell r="E280">
            <v>29940000</v>
          </cell>
          <cell r="F280">
            <v>6000000</v>
          </cell>
          <cell r="G280">
            <v>0</v>
          </cell>
          <cell r="H280">
            <v>6000000</v>
          </cell>
          <cell r="I280">
            <v>3</v>
          </cell>
        </row>
        <row r="281">
          <cell r="C281">
            <v>602576881</v>
          </cell>
          <cell r="D281" t="str">
            <v>株・フアクトリ－ナガ</v>
          </cell>
          <cell r="E281">
            <v>242032683</v>
          </cell>
          <cell r="F281">
            <v>95000000</v>
          </cell>
          <cell r="G281">
            <v>0</v>
          </cell>
          <cell r="H281">
            <v>95000000</v>
          </cell>
          <cell r="I281">
            <v>4</v>
          </cell>
        </row>
        <row r="282">
          <cell r="C282">
            <v>603435409</v>
          </cell>
          <cell r="D282" t="str">
            <v>株・勝建　　　　　　</v>
          </cell>
          <cell r="E282">
            <v>30509159</v>
          </cell>
          <cell r="F282">
            <v>6000000</v>
          </cell>
          <cell r="G282">
            <v>0</v>
          </cell>
          <cell r="H282">
            <v>6000000</v>
          </cell>
          <cell r="I282">
            <v>3</v>
          </cell>
        </row>
        <row r="283">
          <cell r="C283" t="str">
            <v/>
          </cell>
          <cell r="D283" t="str">
            <v>竹内　正雄</v>
          </cell>
          <cell r="E283" t="str">
            <v/>
          </cell>
          <cell r="F283">
            <v>5980000</v>
          </cell>
          <cell r="G283" t="str">
            <v/>
          </cell>
          <cell r="H283" t="e">
            <v>#VALUE!</v>
          </cell>
          <cell r="I283" t="str">
            <v/>
          </cell>
        </row>
        <row r="284">
          <cell r="C284">
            <v>600467254</v>
          </cell>
          <cell r="D284" t="str">
            <v>有・玉屋旅館　　　　</v>
          </cell>
          <cell r="E284">
            <v>781036765</v>
          </cell>
          <cell r="F284">
            <v>195000000</v>
          </cell>
          <cell r="G284">
            <v>0</v>
          </cell>
          <cell r="H284">
            <v>195000000</v>
          </cell>
          <cell r="I284">
            <v>3</v>
          </cell>
        </row>
        <row r="285">
          <cell r="C285">
            <v>601840419</v>
          </cell>
          <cell r="D285" t="str">
            <v>岩渕　一夫　　　　　</v>
          </cell>
          <cell r="E285">
            <v>93400000</v>
          </cell>
          <cell r="F285">
            <v>4000000</v>
          </cell>
          <cell r="G285">
            <v>0</v>
          </cell>
          <cell r="H285">
            <v>4000000</v>
          </cell>
          <cell r="I285">
            <v>3</v>
          </cell>
        </row>
        <row r="286">
          <cell r="C286">
            <v>602842208</v>
          </cell>
          <cell r="D286" t="str">
            <v>株・深山　　　　　　</v>
          </cell>
          <cell r="E286">
            <v>34112000</v>
          </cell>
          <cell r="F286">
            <v>5000000</v>
          </cell>
          <cell r="G286">
            <v>0</v>
          </cell>
          <cell r="H286">
            <v>5000000</v>
          </cell>
          <cell r="I286">
            <v>3</v>
          </cell>
        </row>
        <row r="287">
          <cell r="C287">
            <v>600489185</v>
          </cell>
          <cell r="D287" t="str">
            <v>株・市川ソフト開発　</v>
          </cell>
          <cell r="E287">
            <v>28500000</v>
          </cell>
          <cell r="F287">
            <v>4000000</v>
          </cell>
          <cell r="G287">
            <v>0</v>
          </cell>
          <cell r="H287">
            <v>4000000</v>
          </cell>
          <cell r="I287">
            <v>3</v>
          </cell>
        </row>
        <row r="288">
          <cell r="C288">
            <v>603031052</v>
          </cell>
          <cell r="D288" t="str">
            <v>柳澤　和良　　　　　</v>
          </cell>
          <cell r="E288">
            <v>0</v>
          </cell>
          <cell r="F288">
            <v>0</v>
          </cell>
          <cell r="G288">
            <v>0</v>
          </cell>
          <cell r="H288">
            <v>0</v>
          </cell>
          <cell r="I288">
            <v>4</v>
          </cell>
        </row>
        <row r="289">
          <cell r="C289">
            <v>602899567</v>
          </cell>
          <cell r="D289" t="str">
            <v>坂田　智幸　　　　　</v>
          </cell>
          <cell r="E289">
            <v>0</v>
          </cell>
          <cell r="F289">
            <v>0</v>
          </cell>
          <cell r="G289">
            <v>0</v>
          </cell>
          <cell r="H289">
            <v>0</v>
          </cell>
          <cell r="I289" t="str">
            <v/>
          </cell>
        </row>
        <row r="290">
          <cell r="C290">
            <v>600608457</v>
          </cell>
          <cell r="D290" t="str">
            <v>東信ブロック・株　　</v>
          </cell>
          <cell r="E290">
            <v>93611132</v>
          </cell>
          <cell r="F290">
            <v>1000000</v>
          </cell>
          <cell r="G290">
            <v>0</v>
          </cell>
          <cell r="H290">
            <v>1000000</v>
          </cell>
          <cell r="I290">
            <v>3</v>
          </cell>
        </row>
        <row r="291">
          <cell r="C291">
            <v>600609541</v>
          </cell>
          <cell r="D291" t="str">
            <v>株・小林工業　　　　</v>
          </cell>
          <cell r="E291">
            <v>146899882</v>
          </cell>
          <cell r="F291">
            <v>47683066</v>
          </cell>
          <cell r="G291">
            <v>47683066</v>
          </cell>
          <cell r="H291">
            <v>95366132</v>
          </cell>
          <cell r="I291">
            <v>5</v>
          </cell>
        </row>
        <row r="292">
          <cell r="C292">
            <v>600612179</v>
          </cell>
          <cell r="D292" t="str">
            <v>ワタナベ・株　　　　</v>
          </cell>
          <cell r="E292">
            <v>331886446</v>
          </cell>
          <cell r="F292">
            <v>57973006</v>
          </cell>
          <cell r="G292">
            <v>57973005</v>
          </cell>
          <cell r="H292">
            <v>115946011</v>
          </cell>
          <cell r="I292">
            <v>5</v>
          </cell>
        </row>
        <row r="293">
          <cell r="C293">
            <v>601821501</v>
          </cell>
          <cell r="D293" t="str">
            <v>有・トレンディ－　　</v>
          </cell>
          <cell r="E293">
            <v>18390000</v>
          </cell>
          <cell r="F293">
            <v>2000000</v>
          </cell>
          <cell r="G293">
            <v>0</v>
          </cell>
          <cell r="H293">
            <v>2000000</v>
          </cell>
          <cell r="I293">
            <v>3</v>
          </cell>
        </row>
        <row r="294">
          <cell r="C294">
            <v>602742543</v>
          </cell>
          <cell r="D294" t="str">
            <v>有・ヤナモク　　　　</v>
          </cell>
          <cell r="E294">
            <v>8120042</v>
          </cell>
          <cell r="F294">
            <v>6000000</v>
          </cell>
          <cell r="G294">
            <v>0</v>
          </cell>
          <cell r="H294">
            <v>6000000</v>
          </cell>
          <cell r="I294">
            <v>5</v>
          </cell>
        </row>
        <row r="295">
          <cell r="C295">
            <v>603026866</v>
          </cell>
          <cell r="D295" t="str">
            <v>清水　享　　　　　　</v>
          </cell>
          <cell r="E295">
            <v>99004453</v>
          </cell>
          <cell r="F295">
            <v>1000000</v>
          </cell>
          <cell r="G295">
            <v>0</v>
          </cell>
          <cell r="H295">
            <v>1000000</v>
          </cell>
          <cell r="I295">
            <v>3</v>
          </cell>
        </row>
        <row r="296">
          <cell r="C296">
            <v>600614617</v>
          </cell>
          <cell r="D296" t="str">
            <v>牧野　芳人　　　　　</v>
          </cell>
          <cell r="E296">
            <v>9053083</v>
          </cell>
          <cell r="F296">
            <v>6000000</v>
          </cell>
          <cell r="G296">
            <v>0</v>
          </cell>
          <cell r="H296">
            <v>6000000</v>
          </cell>
          <cell r="I296">
            <v>3</v>
          </cell>
        </row>
        <row r="297">
          <cell r="C297">
            <v>600619483</v>
          </cell>
          <cell r="D297" t="str">
            <v>片山　英吉　　　　　</v>
          </cell>
          <cell r="E297">
            <v>0</v>
          </cell>
          <cell r="F297">
            <v>0</v>
          </cell>
          <cell r="G297">
            <v>0</v>
          </cell>
          <cell r="H297">
            <v>0</v>
          </cell>
          <cell r="I297">
            <v>4</v>
          </cell>
        </row>
        <row r="298">
          <cell r="C298">
            <v>600626911</v>
          </cell>
          <cell r="D298" t="str">
            <v>小山　仁蔵　　　　　</v>
          </cell>
          <cell r="E298">
            <v>12035122</v>
          </cell>
          <cell r="F298">
            <v>5000000</v>
          </cell>
          <cell r="G298">
            <v>0</v>
          </cell>
          <cell r="H298">
            <v>5000000</v>
          </cell>
          <cell r="I298">
            <v>5</v>
          </cell>
        </row>
        <row r="299">
          <cell r="C299">
            <v>600627941</v>
          </cell>
          <cell r="D299" t="str">
            <v>株・吉沢組　　　　　</v>
          </cell>
          <cell r="E299">
            <v>126008000</v>
          </cell>
          <cell r="F299">
            <v>39000000</v>
          </cell>
          <cell r="G299">
            <v>0</v>
          </cell>
          <cell r="H299">
            <v>39000000</v>
          </cell>
          <cell r="I299">
            <v>4</v>
          </cell>
        </row>
        <row r="300">
          <cell r="C300">
            <v>600628797</v>
          </cell>
          <cell r="D300" t="str">
            <v>金沢　喜八　　　　　</v>
          </cell>
          <cell r="E300">
            <v>3062635</v>
          </cell>
          <cell r="F300">
            <v>0</v>
          </cell>
          <cell r="G300">
            <v>0</v>
          </cell>
          <cell r="H300">
            <v>0</v>
          </cell>
          <cell r="I300">
            <v>5</v>
          </cell>
        </row>
        <row r="301">
          <cell r="C301">
            <v>600630579</v>
          </cell>
          <cell r="D301" t="str">
            <v>信州味噌・株　　　　</v>
          </cell>
          <cell r="E301">
            <v>384557064</v>
          </cell>
          <cell r="F301">
            <v>0</v>
          </cell>
          <cell r="G301">
            <v>16178708</v>
          </cell>
          <cell r="H301">
            <v>16178708</v>
          </cell>
          <cell r="I301">
            <v>5</v>
          </cell>
        </row>
        <row r="302">
          <cell r="C302">
            <v>600630600</v>
          </cell>
          <cell r="D302" t="str">
            <v>株・柳建ヤナギダ　　</v>
          </cell>
          <cell r="E302">
            <v>449516503</v>
          </cell>
          <cell r="F302">
            <v>31000000</v>
          </cell>
          <cell r="G302">
            <v>0</v>
          </cell>
          <cell r="H302">
            <v>31000000</v>
          </cell>
          <cell r="I302">
            <v>3</v>
          </cell>
        </row>
        <row r="303">
          <cell r="C303">
            <v>601821090</v>
          </cell>
          <cell r="D303" t="str">
            <v>有・神津　　　　　　</v>
          </cell>
          <cell r="E303">
            <v>3000000</v>
          </cell>
          <cell r="F303">
            <v>3000000</v>
          </cell>
          <cell r="G303">
            <v>0</v>
          </cell>
          <cell r="H303">
            <v>3000000</v>
          </cell>
          <cell r="I303">
            <v>4</v>
          </cell>
        </row>
        <row r="304">
          <cell r="C304">
            <v>601994889</v>
          </cell>
          <cell r="D304" t="str">
            <v>有・柳建総業　　　　</v>
          </cell>
          <cell r="E304">
            <v>10290000</v>
          </cell>
          <cell r="F304">
            <v>4000000</v>
          </cell>
          <cell r="G304">
            <v>0</v>
          </cell>
          <cell r="H304">
            <v>4000000</v>
          </cell>
          <cell r="I304">
            <v>4</v>
          </cell>
        </row>
        <row r="305">
          <cell r="C305">
            <v>602270020</v>
          </cell>
          <cell r="D305" t="str">
            <v>有・高橋建設　　　　</v>
          </cell>
          <cell r="E305">
            <v>25621384</v>
          </cell>
          <cell r="F305">
            <v>14495192</v>
          </cell>
          <cell r="G305">
            <v>11126192</v>
          </cell>
          <cell r="H305">
            <v>25621384</v>
          </cell>
          <cell r="I305">
            <v>5</v>
          </cell>
        </row>
        <row r="306">
          <cell r="C306">
            <v>600639256</v>
          </cell>
          <cell r="D306" t="str">
            <v>萬屋木材・株　　　　</v>
          </cell>
          <cell r="E306">
            <v>54250000</v>
          </cell>
          <cell r="F306">
            <v>5000000</v>
          </cell>
          <cell r="G306">
            <v>0</v>
          </cell>
          <cell r="H306">
            <v>5000000</v>
          </cell>
          <cell r="I306">
            <v>4</v>
          </cell>
        </row>
        <row r="307">
          <cell r="C307">
            <v>600639810</v>
          </cell>
          <cell r="D307" t="str">
            <v>福田　博考　　　　　</v>
          </cell>
          <cell r="E307">
            <v>2910000</v>
          </cell>
          <cell r="F307">
            <v>2000000</v>
          </cell>
          <cell r="G307">
            <v>0</v>
          </cell>
          <cell r="H307">
            <v>2000000</v>
          </cell>
          <cell r="I307">
            <v>4</v>
          </cell>
        </row>
        <row r="308">
          <cell r="C308">
            <v>600642677</v>
          </cell>
          <cell r="D308" t="str">
            <v>軽井沢中央コンサルタ</v>
          </cell>
          <cell r="E308">
            <v>9950000</v>
          </cell>
          <cell r="F308">
            <v>9000000</v>
          </cell>
          <cell r="G308">
            <v>0</v>
          </cell>
          <cell r="H308">
            <v>9000000</v>
          </cell>
          <cell r="I308">
            <v>4</v>
          </cell>
        </row>
        <row r="309">
          <cell r="C309">
            <v>600643010</v>
          </cell>
          <cell r="D309" t="str">
            <v>株・清水商店　　　　</v>
          </cell>
          <cell r="E309">
            <v>95104728</v>
          </cell>
          <cell r="F309">
            <v>40000000</v>
          </cell>
          <cell r="G309">
            <v>0</v>
          </cell>
          <cell r="H309">
            <v>40000000</v>
          </cell>
          <cell r="I309">
            <v>4</v>
          </cell>
        </row>
        <row r="310">
          <cell r="C310">
            <v>600643467</v>
          </cell>
          <cell r="D310" t="str">
            <v>桜井　良二　　　　　</v>
          </cell>
          <cell r="E310">
            <v>10730000</v>
          </cell>
          <cell r="F310">
            <v>4000000</v>
          </cell>
          <cell r="G310">
            <v>0</v>
          </cell>
          <cell r="H310">
            <v>4000000</v>
          </cell>
          <cell r="I310">
            <v>4</v>
          </cell>
        </row>
        <row r="311">
          <cell r="C311">
            <v>600644562</v>
          </cell>
          <cell r="D311" t="str">
            <v>有・シユ－ズスズキ　</v>
          </cell>
          <cell r="E311">
            <v>8589000</v>
          </cell>
          <cell r="F311">
            <v>6000000</v>
          </cell>
          <cell r="G311">
            <v>0</v>
          </cell>
          <cell r="H311">
            <v>6000000</v>
          </cell>
          <cell r="I311">
            <v>5</v>
          </cell>
        </row>
        <row r="312">
          <cell r="C312">
            <v>600645690</v>
          </cell>
          <cell r="D312" t="str">
            <v>萩原　和義　　　　　</v>
          </cell>
          <cell r="E312">
            <v>0</v>
          </cell>
          <cell r="F312">
            <v>0</v>
          </cell>
          <cell r="G312">
            <v>0</v>
          </cell>
          <cell r="H312">
            <v>0</v>
          </cell>
          <cell r="I312">
            <v>4</v>
          </cell>
        </row>
        <row r="313">
          <cell r="C313">
            <v>600647127</v>
          </cell>
          <cell r="D313" t="str">
            <v>総信興産・株　　　　</v>
          </cell>
          <cell r="E313">
            <v>391300000</v>
          </cell>
          <cell r="F313">
            <v>300000000</v>
          </cell>
          <cell r="G313">
            <v>0</v>
          </cell>
          <cell r="H313">
            <v>300000000</v>
          </cell>
          <cell r="I313">
            <v>4</v>
          </cell>
        </row>
        <row r="314">
          <cell r="C314">
            <v>600652760</v>
          </cell>
          <cell r="D314" t="str">
            <v>有・上原工業　　　　</v>
          </cell>
          <cell r="E314">
            <v>94533483</v>
          </cell>
          <cell r="F314">
            <v>30000000</v>
          </cell>
          <cell r="G314">
            <v>0</v>
          </cell>
          <cell r="H314">
            <v>30000000</v>
          </cell>
          <cell r="I314">
            <v>4</v>
          </cell>
        </row>
        <row r="315">
          <cell r="C315">
            <v>601718850</v>
          </cell>
          <cell r="D315" t="str">
            <v>上原　正一　　　　　</v>
          </cell>
          <cell r="E315">
            <v>46391983</v>
          </cell>
          <cell r="F315">
            <v>0</v>
          </cell>
          <cell r="G315">
            <v>0</v>
          </cell>
          <cell r="H315">
            <v>0</v>
          </cell>
          <cell r="I315">
            <v>4</v>
          </cell>
        </row>
        <row r="316">
          <cell r="C316">
            <v>601854795</v>
          </cell>
          <cell r="D316" t="str">
            <v>株・あさま　　　　　</v>
          </cell>
          <cell r="E316">
            <v>90782000</v>
          </cell>
          <cell r="F316">
            <v>25000000</v>
          </cell>
          <cell r="G316">
            <v>0</v>
          </cell>
          <cell r="H316">
            <v>25000000</v>
          </cell>
          <cell r="I316">
            <v>4</v>
          </cell>
        </row>
        <row r="317">
          <cell r="C317">
            <v>601997140</v>
          </cell>
          <cell r="D317" t="str">
            <v>株・しぶさ　　　　　</v>
          </cell>
          <cell r="E317">
            <v>55168000</v>
          </cell>
          <cell r="F317">
            <v>14000000</v>
          </cell>
          <cell r="G317">
            <v>0</v>
          </cell>
          <cell r="H317">
            <v>14000000</v>
          </cell>
          <cell r="I317">
            <v>4</v>
          </cell>
        </row>
        <row r="318">
          <cell r="C318">
            <v>602002342</v>
          </cell>
          <cell r="D318" t="str">
            <v>市村　祥一　　　　　</v>
          </cell>
          <cell r="E318">
            <v>16883370</v>
          </cell>
          <cell r="F318">
            <v>5000000</v>
          </cell>
          <cell r="G318">
            <v>0</v>
          </cell>
          <cell r="H318">
            <v>5000000</v>
          </cell>
          <cell r="I318">
            <v>4</v>
          </cell>
        </row>
        <row r="319">
          <cell r="C319">
            <v>602122696</v>
          </cell>
          <cell r="D319" t="str">
            <v>有・所付電気商会　　</v>
          </cell>
          <cell r="E319">
            <v>19160000</v>
          </cell>
          <cell r="F319">
            <v>10000000</v>
          </cell>
          <cell r="G319">
            <v>0</v>
          </cell>
          <cell r="H319">
            <v>10000000</v>
          </cell>
          <cell r="I319">
            <v>4</v>
          </cell>
        </row>
        <row r="320">
          <cell r="C320">
            <v>602147811</v>
          </cell>
          <cell r="D320" t="str">
            <v>長谷川　文夫　　　　</v>
          </cell>
          <cell r="E320">
            <v>63288905</v>
          </cell>
          <cell r="F320">
            <v>47000000</v>
          </cell>
          <cell r="G320">
            <v>0</v>
          </cell>
          <cell r="H320">
            <v>47000000</v>
          </cell>
          <cell r="I320">
            <v>4</v>
          </cell>
        </row>
        <row r="321">
          <cell r="C321">
            <v>602175153</v>
          </cell>
          <cell r="D321" t="str">
            <v>春日　昭彦　　　　　</v>
          </cell>
          <cell r="E321">
            <v>0</v>
          </cell>
          <cell r="F321">
            <v>0</v>
          </cell>
          <cell r="G321">
            <v>0</v>
          </cell>
          <cell r="H321">
            <v>0</v>
          </cell>
          <cell r="I321" t="str">
            <v/>
          </cell>
        </row>
        <row r="322">
          <cell r="C322">
            <v>602385895</v>
          </cell>
          <cell r="D322" t="str">
            <v>株・アップル　　　　</v>
          </cell>
          <cell r="E322">
            <v>7480000</v>
          </cell>
          <cell r="F322">
            <v>7000000</v>
          </cell>
          <cell r="G322">
            <v>0</v>
          </cell>
          <cell r="H322">
            <v>7000000</v>
          </cell>
          <cell r="I322">
            <v>4</v>
          </cell>
        </row>
        <row r="323">
          <cell r="C323">
            <v>602663876</v>
          </cell>
          <cell r="D323" t="str">
            <v>ト－ヨ化工・有　　　</v>
          </cell>
          <cell r="E323">
            <v>2840000</v>
          </cell>
          <cell r="F323">
            <v>2000000</v>
          </cell>
          <cell r="G323">
            <v>0</v>
          </cell>
          <cell r="H323">
            <v>2000000</v>
          </cell>
          <cell r="I323">
            <v>5</v>
          </cell>
        </row>
        <row r="324">
          <cell r="C324">
            <v>602765904</v>
          </cell>
          <cell r="D324" t="str">
            <v>有・ホテル山城館　　</v>
          </cell>
          <cell r="E324">
            <v>143590000</v>
          </cell>
          <cell r="F324">
            <v>84000000</v>
          </cell>
          <cell r="G324">
            <v>0</v>
          </cell>
          <cell r="H324">
            <v>84000000</v>
          </cell>
          <cell r="I324">
            <v>4</v>
          </cell>
        </row>
        <row r="325">
          <cell r="C325">
            <v>602795631</v>
          </cell>
          <cell r="D325" t="str">
            <v>堀一通信興業・株　　</v>
          </cell>
          <cell r="E325">
            <v>16980000</v>
          </cell>
          <cell r="F325">
            <v>8000000</v>
          </cell>
          <cell r="G325">
            <v>0</v>
          </cell>
          <cell r="H325">
            <v>8000000</v>
          </cell>
          <cell r="I325">
            <v>4</v>
          </cell>
        </row>
        <row r="326">
          <cell r="C326">
            <v>602801894</v>
          </cell>
          <cell r="D326" t="str">
            <v>神津　明　　　　　　</v>
          </cell>
          <cell r="E326">
            <v>12985838</v>
          </cell>
          <cell r="F326">
            <v>4000000</v>
          </cell>
          <cell r="G326">
            <v>0</v>
          </cell>
          <cell r="H326">
            <v>4000000</v>
          </cell>
          <cell r="I326">
            <v>4</v>
          </cell>
        </row>
        <row r="327">
          <cell r="C327">
            <v>600652237</v>
          </cell>
          <cell r="D327" t="str">
            <v>松葉自動車交通・株　</v>
          </cell>
          <cell r="E327">
            <v>1561559000</v>
          </cell>
          <cell r="F327">
            <v>639000000</v>
          </cell>
          <cell r="G327">
            <v>0</v>
          </cell>
          <cell r="H327">
            <v>639000000</v>
          </cell>
          <cell r="I327">
            <v>3</v>
          </cell>
        </row>
        <row r="328">
          <cell r="C328">
            <v>600652248</v>
          </cell>
          <cell r="D328" t="str">
            <v>成沢　和夫　　　　　</v>
          </cell>
          <cell r="E328">
            <v>59519116</v>
          </cell>
          <cell r="F328">
            <v>6000000</v>
          </cell>
          <cell r="G328">
            <v>0</v>
          </cell>
          <cell r="H328">
            <v>6000000</v>
          </cell>
          <cell r="I328">
            <v>3</v>
          </cell>
        </row>
        <row r="329">
          <cell r="C329">
            <v>600652455</v>
          </cell>
          <cell r="D329" t="str">
            <v>遠藤　貫己　　　　　</v>
          </cell>
          <cell r="E329">
            <v>27232422</v>
          </cell>
          <cell r="F329">
            <v>10000000</v>
          </cell>
          <cell r="G329">
            <v>0</v>
          </cell>
          <cell r="H329">
            <v>10000000</v>
          </cell>
          <cell r="I329">
            <v>4</v>
          </cell>
        </row>
        <row r="330">
          <cell r="C330">
            <v>600652520</v>
          </cell>
          <cell r="D330" t="str">
            <v>軽井沢リゾート開発株</v>
          </cell>
          <cell r="E330">
            <v>19620000</v>
          </cell>
          <cell r="F330">
            <v>19000000</v>
          </cell>
          <cell r="G330">
            <v>0</v>
          </cell>
          <cell r="H330">
            <v>19000000</v>
          </cell>
          <cell r="I330">
            <v>4</v>
          </cell>
        </row>
        <row r="331">
          <cell r="C331">
            <v>600652737</v>
          </cell>
          <cell r="D331" t="str">
            <v>内堀　功　　　　　　</v>
          </cell>
          <cell r="E331">
            <v>30918755</v>
          </cell>
          <cell r="F331">
            <v>23000000</v>
          </cell>
          <cell r="G331">
            <v>0</v>
          </cell>
          <cell r="H331">
            <v>23000000</v>
          </cell>
          <cell r="I331">
            <v>4</v>
          </cell>
        </row>
        <row r="332">
          <cell r="C332">
            <v>600652955</v>
          </cell>
          <cell r="D332" t="str">
            <v>金井建設・株　　　　</v>
          </cell>
          <cell r="E332">
            <v>192800000</v>
          </cell>
          <cell r="F332">
            <v>127000000</v>
          </cell>
          <cell r="G332">
            <v>0</v>
          </cell>
          <cell r="H332">
            <v>127000000</v>
          </cell>
          <cell r="I332">
            <v>4</v>
          </cell>
        </row>
        <row r="333">
          <cell r="C333">
            <v>600653061</v>
          </cell>
          <cell r="D333" t="str">
            <v>佐藤　茂　　　　　　</v>
          </cell>
          <cell r="E333">
            <v>61500000</v>
          </cell>
          <cell r="F333">
            <v>9000000</v>
          </cell>
          <cell r="G333">
            <v>0</v>
          </cell>
          <cell r="H333">
            <v>9000000</v>
          </cell>
          <cell r="I333">
            <v>4</v>
          </cell>
        </row>
        <row r="334">
          <cell r="C334">
            <v>600653094</v>
          </cell>
          <cell r="D334" t="str">
            <v>上信燃料・資　　　　</v>
          </cell>
          <cell r="E334">
            <v>24698000</v>
          </cell>
          <cell r="F334">
            <v>6000000</v>
          </cell>
          <cell r="G334">
            <v>0</v>
          </cell>
          <cell r="H334">
            <v>6000000</v>
          </cell>
          <cell r="I334">
            <v>3</v>
          </cell>
        </row>
        <row r="335">
          <cell r="C335">
            <v>600653343</v>
          </cell>
          <cell r="D335" t="str">
            <v>渡辺　勝義　　　　　</v>
          </cell>
          <cell r="E335">
            <v>0</v>
          </cell>
          <cell r="F335">
            <v>0</v>
          </cell>
          <cell r="G335">
            <v>0</v>
          </cell>
          <cell r="H335">
            <v>0</v>
          </cell>
          <cell r="I335">
            <v>4</v>
          </cell>
        </row>
        <row r="336">
          <cell r="C336">
            <v>600654166</v>
          </cell>
          <cell r="D336" t="str">
            <v>大山　孝信　　　　　</v>
          </cell>
          <cell r="E336">
            <v>10970000</v>
          </cell>
          <cell r="F336">
            <v>10000000</v>
          </cell>
          <cell r="G336">
            <v>0</v>
          </cell>
          <cell r="H336">
            <v>10000000</v>
          </cell>
          <cell r="I336">
            <v>4</v>
          </cell>
        </row>
        <row r="337">
          <cell r="C337">
            <v>600655238</v>
          </cell>
          <cell r="D337" t="str">
            <v>後藤　洋二　　　　　</v>
          </cell>
          <cell r="E337">
            <v>7780000</v>
          </cell>
          <cell r="F337">
            <v>7000000</v>
          </cell>
          <cell r="G337">
            <v>0</v>
          </cell>
          <cell r="H337">
            <v>7000000</v>
          </cell>
          <cell r="I337">
            <v>4</v>
          </cell>
        </row>
        <row r="338">
          <cell r="C338">
            <v>602395237</v>
          </cell>
          <cell r="D338" t="str">
            <v>三和建設・株　　　　</v>
          </cell>
          <cell r="E338">
            <v>15840000</v>
          </cell>
          <cell r="F338">
            <v>11000000</v>
          </cell>
          <cell r="G338">
            <v>0</v>
          </cell>
          <cell r="H338">
            <v>11000000</v>
          </cell>
          <cell r="I338">
            <v>4</v>
          </cell>
        </row>
        <row r="339">
          <cell r="C339">
            <v>603763033</v>
          </cell>
          <cell r="D339" t="str">
            <v>桜井　多恵子　　　　</v>
          </cell>
          <cell r="E339">
            <v>30000000</v>
          </cell>
          <cell r="F339">
            <v>30000000</v>
          </cell>
          <cell r="G339">
            <v>0</v>
          </cell>
          <cell r="H339">
            <v>30000000</v>
          </cell>
          <cell r="I339">
            <v>4</v>
          </cell>
        </row>
        <row r="340">
          <cell r="C340">
            <v>600661225</v>
          </cell>
          <cell r="D340" t="str">
            <v>竹花　維夫　　　　　</v>
          </cell>
          <cell r="E340">
            <v>11602745</v>
          </cell>
          <cell r="F340">
            <v>2000000</v>
          </cell>
          <cell r="G340">
            <v>0</v>
          </cell>
          <cell r="H340">
            <v>2000000</v>
          </cell>
          <cell r="I340">
            <v>3</v>
          </cell>
        </row>
        <row r="341">
          <cell r="C341">
            <v>600663534</v>
          </cell>
          <cell r="D341" t="str">
            <v>依田　善永　　　　　</v>
          </cell>
          <cell r="E341">
            <v>58692000</v>
          </cell>
          <cell r="F341">
            <v>14000000</v>
          </cell>
          <cell r="G341">
            <v>0</v>
          </cell>
          <cell r="H341">
            <v>14000000</v>
          </cell>
          <cell r="I341">
            <v>3</v>
          </cell>
        </row>
        <row r="342">
          <cell r="C342">
            <v>600663578</v>
          </cell>
          <cell r="D342" t="str">
            <v>湯田　功　　　　　　</v>
          </cell>
          <cell r="E342">
            <v>8000000</v>
          </cell>
          <cell r="F342">
            <v>2000000</v>
          </cell>
          <cell r="G342">
            <v>0</v>
          </cell>
          <cell r="H342">
            <v>2000000</v>
          </cell>
          <cell r="I342">
            <v>3</v>
          </cell>
        </row>
        <row r="343">
          <cell r="C343">
            <v>601911564</v>
          </cell>
          <cell r="D343" t="str">
            <v>有・寺尾建築　　　　</v>
          </cell>
          <cell r="E343">
            <v>10103000</v>
          </cell>
          <cell r="F343">
            <v>1000000</v>
          </cell>
          <cell r="G343">
            <v>0</v>
          </cell>
          <cell r="H343">
            <v>1000000</v>
          </cell>
          <cell r="I343">
            <v>4</v>
          </cell>
        </row>
        <row r="344">
          <cell r="C344">
            <v>602284904</v>
          </cell>
          <cell r="D344" t="str">
            <v>吉竹　弘　　　　　　</v>
          </cell>
          <cell r="E344">
            <v>15926620</v>
          </cell>
          <cell r="F344">
            <v>7000000</v>
          </cell>
          <cell r="G344">
            <v>0</v>
          </cell>
          <cell r="H344">
            <v>7000000</v>
          </cell>
          <cell r="I344">
            <v>4</v>
          </cell>
        </row>
        <row r="345">
          <cell r="C345">
            <v>603567448</v>
          </cell>
          <cell r="D345" t="str">
            <v>株・グランビュー蓼科</v>
          </cell>
          <cell r="E345">
            <v>45370000</v>
          </cell>
          <cell r="F345">
            <v>2000000</v>
          </cell>
          <cell r="G345">
            <v>0</v>
          </cell>
          <cell r="H345">
            <v>2000000</v>
          </cell>
          <cell r="I345">
            <v>3</v>
          </cell>
        </row>
        <row r="346">
          <cell r="C346">
            <v>600666166</v>
          </cell>
          <cell r="D346" t="str">
            <v>株・佐久セントラルホ</v>
          </cell>
          <cell r="E346">
            <v>377085000</v>
          </cell>
          <cell r="F346">
            <v>12000000</v>
          </cell>
          <cell r="G346">
            <v>0</v>
          </cell>
          <cell r="H346">
            <v>12000000</v>
          </cell>
          <cell r="I346">
            <v>3</v>
          </cell>
        </row>
        <row r="347">
          <cell r="C347">
            <v>600670780</v>
          </cell>
          <cell r="D347" t="str">
            <v>室賀　倭文夫　　　　</v>
          </cell>
          <cell r="E347">
            <v>43700000</v>
          </cell>
          <cell r="F347">
            <v>9000000</v>
          </cell>
          <cell r="G347">
            <v>0</v>
          </cell>
          <cell r="H347">
            <v>9000000</v>
          </cell>
          <cell r="I347">
            <v>3</v>
          </cell>
        </row>
        <row r="348">
          <cell r="C348">
            <v>600675425</v>
          </cell>
          <cell r="D348" t="str">
            <v>佐久市宅地建物事業協</v>
          </cell>
          <cell r="E348">
            <v>245370000</v>
          </cell>
          <cell r="F348">
            <v>115000000</v>
          </cell>
          <cell r="G348">
            <v>0</v>
          </cell>
          <cell r="H348">
            <v>115000000</v>
          </cell>
          <cell r="I348">
            <v>4</v>
          </cell>
        </row>
        <row r="349">
          <cell r="C349">
            <v>602131726</v>
          </cell>
          <cell r="D349" t="str">
            <v>セントラルリビング株</v>
          </cell>
          <cell r="E349">
            <v>101425000</v>
          </cell>
          <cell r="F349">
            <v>9000000</v>
          </cell>
          <cell r="G349">
            <v>0</v>
          </cell>
          <cell r="H349">
            <v>9000000</v>
          </cell>
          <cell r="I349">
            <v>3</v>
          </cell>
        </row>
        <row r="350">
          <cell r="C350">
            <v>602561117</v>
          </cell>
          <cell r="D350" t="str">
            <v>佐久平尾山開発・株　</v>
          </cell>
          <cell r="E350">
            <v>2953085000</v>
          </cell>
          <cell r="F350">
            <v>2086000000</v>
          </cell>
          <cell r="G350">
            <v>0</v>
          </cell>
          <cell r="H350">
            <v>2086000000</v>
          </cell>
          <cell r="I350">
            <v>3</v>
          </cell>
        </row>
        <row r="351">
          <cell r="C351">
            <v>603119679</v>
          </cell>
          <cell r="D351" t="str">
            <v>株・エムアイサ－ビス</v>
          </cell>
          <cell r="E351">
            <v>6015000</v>
          </cell>
          <cell r="F351">
            <v>3000000</v>
          </cell>
          <cell r="G351">
            <v>0</v>
          </cell>
          <cell r="H351">
            <v>3000000</v>
          </cell>
          <cell r="I351">
            <v>4</v>
          </cell>
        </row>
        <row r="352">
          <cell r="C352">
            <v>600686917</v>
          </cell>
          <cell r="D352" t="str">
            <v>古谷　健五　　　　　</v>
          </cell>
          <cell r="E352">
            <v>310253202</v>
          </cell>
          <cell r="F352">
            <v>183000000</v>
          </cell>
          <cell r="G352">
            <v>0</v>
          </cell>
          <cell r="H352">
            <v>183000000</v>
          </cell>
          <cell r="I352">
            <v>4</v>
          </cell>
        </row>
        <row r="353">
          <cell r="C353">
            <v>600687534</v>
          </cell>
          <cell r="D353" t="str">
            <v>小林　文武　　　　　</v>
          </cell>
          <cell r="E353">
            <v>13100000</v>
          </cell>
          <cell r="F353">
            <v>2000000</v>
          </cell>
          <cell r="G353">
            <v>0</v>
          </cell>
          <cell r="H353">
            <v>2000000</v>
          </cell>
          <cell r="I353">
            <v>3</v>
          </cell>
        </row>
        <row r="354">
          <cell r="C354">
            <v>600688726</v>
          </cell>
          <cell r="D354" t="str">
            <v>佐京　勇　　　　　　</v>
          </cell>
          <cell r="E354">
            <v>7245073</v>
          </cell>
          <cell r="F354">
            <v>2000000</v>
          </cell>
          <cell r="G354">
            <v>0</v>
          </cell>
          <cell r="H354">
            <v>2000000</v>
          </cell>
          <cell r="I354">
            <v>4</v>
          </cell>
        </row>
        <row r="355">
          <cell r="C355">
            <v>600689192</v>
          </cell>
          <cell r="D355" t="str">
            <v>田中　淑人　　　　　</v>
          </cell>
          <cell r="E355">
            <v>64070000</v>
          </cell>
          <cell r="F355">
            <v>29000000</v>
          </cell>
          <cell r="G355">
            <v>0</v>
          </cell>
          <cell r="H355">
            <v>29000000</v>
          </cell>
          <cell r="I355">
            <v>4</v>
          </cell>
        </row>
        <row r="356">
          <cell r="C356">
            <v>600690019</v>
          </cell>
          <cell r="D356" t="str">
            <v>株・中央名店　　　　</v>
          </cell>
          <cell r="E356">
            <v>370610000</v>
          </cell>
          <cell r="F356">
            <v>117000000</v>
          </cell>
          <cell r="G356">
            <v>0</v>
          </cell>
          <cell r="H356">
            <v>117000000</v>
          </cell>
          <cell r="I356">
            <v>3</v>
          </cell>
        </row>
        <row r="357">
          <cell r="C357">
            <v>600693825</v>
          </cell>
          <cell r="D357" t="str">
            <v>有・井出美建設　　　</v>
          </cell>
          <cell r="E357">
            <v>32340000</v>
          </cell>
          <cell r="F357">
            <v>6000000</v>
          </cell>
          <cell r="G357">
            <v>0</v>
          </cell>
          <cell r="H357">
            <v>6000000</v>
          </cell>
          <cell r="I357">
            <v>3</v>
          </cell>
        </row>
        <row r="358">
          <cell r="C358">
            <v>600695318</v>
          </cell>
          <cell r="D358" t="str">
            <v>有・吉岡京染店　　　</v>
          </cell>
          <cell r="E358">
            <v>0</v>
          </cell>
          <cell r="F358">
            <v>0</v>
          </cell>
          <cell r="G358">
            <v>0</v>
          </cell>
          <cell r="H358">
            <v>0</v>
          </cell>
          <cell r="I358" t="str">
            <v/>
          </cell>
        </row>
        <row r="359">
          <cell r="C359">
            <v>600695329</v>
          </cell>
          <cell r="D359" t="str">
            <v>株・ミツワデンキ　　</v>
          </cell>
          <cell r="E359">
            <v>18097500</v>
          </cell>
          <cell r="F359">
            <v>7000000</v>
          </cell>
          <cell r="G359">
            <v>0</v>
          </cell>
          <cell r="H359">
            <v>7000000</v>
          </cell>
          <cell r="I359">
            <v>3</v>
          </cell>
        </row>
        <row r="360">
          <cell r="C360">
            <v>600695570</v>
          </cell>
          <cell r="D360" t="str">
            <v>古屋建設工業・株　　</v>
          </cell>
          <cell r="E360">
            <v>53149582</v>
          </cell>
          <cell r="F360">
            <v>11994666</v>
          </cell>
          <cell r="G360">
            <v>11994666</v>
          </cell>
          <cell r="H360">
            <v>23989332</v>
          </cell>
          <cell r="I360">
            <v>5</v>
          </cell>
        </row>
        <row r="361">
          <cell r="C361">
            <v>601925742</v>
          </cell>
          <cell r="D361" t="str">
            <v>有・和光堂　　　　　</v>
          </cell>
          <cell r="E361">
            <v>7564000</v>
          </cell>
          <cell r="F361">
            <v>0</v>
          </cell>
          <cell r="G361">
            <v>0</v>
          </cell>
          <cell r="H361">
            <v>0</v>
          </cell>
          <cell r="I361">
            <v>3</v>
          </cell>
        </row>
        <row r="362">
          <cell r="C362">
            <v>602780870</v>
          </cell>
          <cell r="D362" t="str">
            <v>仁科　薫　　　　　　</v>
          </cell>
          <cell r="E362">
            <v>6600000</v>
          </cell>
          <cell r="F362">
            <v>4000000</v>
          </cell>
          <cell r="G362">
            <v>0</v>
          </cell>
          <cell r="H362">
            <v>4000000</v>
          </cell>
          <cell r="I362">
            <v>4</v>
          </cell>
        </row>
        <row r="363">
          <cell r="C363">
            <v>602781073</v>
          </cell>
          <cell r="D363" t="str">
            <v>株・桝屋製菓　　　　</v>
          </cell>
          <cell r="E363">
            <v>232355183</v>
          </cell>
          <cell r="F363">
            <v>53000000</v>
          </cell>
          <cell r="G363">
            <v>0</v>
          </cell>
          <cell r="H363">
            <v>53000000</v>
          </cell>
          <cell r="I363">
            <v>5</v>
          </cell>
        </row>
        <row r="364">
          <cell r="C364">
            <v>603216051</v>
          </cell>
          <cell r="D364" t="str">
            <v>依田　方伯　　　　　</v>
          </cell>
          <cell r="E364">
            <v>11639058</v>
          </cell>
          <cell r="F364">
            <v>7000000</v>
          </cell>
          <cell r="G364">
            <v>0</v>
          </cell>
          <cell r="H364">
            <v>7000000</v>
          </cell>
          <cell r="I364">
            <v>3</v>
          </cell>
        </row>
        <row r="365">
          <cell r="C365">
            <v>602268704</v>
          </cell>
          <cell r="D365" t="str">
            <v>白井　雅人　　　　　</v>
          </cell>
          <cell r="E365">
            <v>73080000</v>
          </cell>
          <cell r="F365">
            <v>7000000</v>
          </cell>
          <cell r="G365">
            <v>0</v>
          </cell>
          <cell r="H365">
            <v>7000000</v>
          </cell>
          <cell r="I365">
            <v>3</v>
          </cell>
        </row>
        <row r="366">
          <cell r="C366">
            <v>603585197</v>
          </cell>
          <cell r="D366" t="str">
            <v>荻原　光　　　　　　</v>
          </cell>
          <cell r="E366">
            <v>14728000</v>
          </cell>
          <cell r="F366">
            <v>2000000</v>
          </cell>
          <cell r="G366">
            <v>0</v>
          </cell>
          <cell r="H366">
            <v>2000000</v>
          </cell>
          <cell r="I366">
            <v>4</v>
          </cell>
        </row>
        <row r="367">
          <cell r="C367">
            <v>600714143</v>
          </cell>
          <cell r="D367" t="str">
            <v>小池　保武　　　　　</v>
          </cell>
          <cell r="E367">
            <v>2850410</v>
          </cell>
          <cell r="F367">
            <v>2000000</v>
          </cell>
          <cell r="G367">
            <v>0</v>
          </cell>
          <cell r="H367">
            <v>2000000</v>
          </cell>
          <cell r="I367">
            <v>4</v>
          </cell>
        </row>
        <row r="368">
          <cell r="C368">
            <v>600714512</v>
          </cell>
          <cell r="D368" t="str">
            <v>有・笹屋通信工業　　</v>
          </cell>
          <cell r="E368">
            <v>36123000</v>
          </cell>
          <cell r="F368">
            <v>2000000</v>
          </cell>
          <cell r="G368">
            <v>0</v>
          </cell>
          <cell r="H368">
            <v>2000000</v>
          </cell>
          <cell r="I368">
            <v>3</v>
          </cell>
        </row>
        <row r="369">
          <cell r="C369">
            <v>600715891</v>
          </cell>
          <cell r="D369" t="str">
            <v>篠原　宗一　　　　　</v>
          </cell>
          <cell r="E369">
            <v>27130710</v>
          </cell>
          <cell r="F369">
            <v>11000000</v>
          </cell>
          <cell r="G369">
            <v>0</v>
          </cell>
          <cell r="H369">
            <v>11000000</v>
          </cell>
          <cell r="I369">
            <v>4</v>
          </cell>
        </row>
        <row r="370">
          <cell r="C370">
            <v>600716985</v>
          </cell>
          <cell r="D370" t="str">
            <v>遠藤　和男　　　　　</v>
          </cell>
          <cell r="E370">
            <v>15575000</v>
          </cell>
          <cell r="F370">
            <v>15000000</v>
          </cell>
          <cell r="G370">
            <v>0</v>
          </cell>
          <cell r="H370">
            <v>15000000</v>
          </cell>
          <cell r="I370">
            <v>4</v>
          </cell>
        </row>
        <row r="371">
          <cell r="C371">
            <v>600719355</v>
          </cell>
          <cell r="D371" t="str">
            <v>高柳　袈裟春　　　　</v>
          </cell>
          <cell r="E371">
            <v>2138000</v>
          </cell>
          <cell r="F371">
            <v>2000000</v>
          </cell>
          <cell r="G371">
            <v>0</v>
          </cell>
          <cell r="H371">
            <v>2000000</v>
          </cell>
          <cell r="I371">
            <v>4</v>
          </cell>
        </row>
        <row r="372">
          <cell r="C372">
            <v>601674235</v>
          </cell>
          <cell r="D372" t="str">
            <v>有・平原工務店　　　</v>
          </cell>
          <cell r="E372">
            <v>0</v>
          </cell>
          <cell r="F372">
            <v>0</v>
          </cell>
          <cell r="G372">
            <v>0</v>
          </cell>
          <cell r="H372">
            <v>0</v>
          </cell>
          <cell r="I372">
            <v>4</v>
          </cell>
        </row>
        <row r="373">
          <cell r="C373">
            <v>602055136</v>
          </cell>
          <cell r="D373" t="str">
            <v>岩田　友郷　　　　　</v>
          </cell>
          <cell r="E373">
            <v>24205799</v>
          </cell>
          <cell r="F373">
            <v>15000000</v>
          </cell>
          <cell r="G373">
            <v>0</v>
          </cell>
          <cell r="H373">
            <v>15000000</v>
          </cell>
          <cell r="I373">
            <v>4</v>
          </cell>
        </row>
        <row r="374">
          <cell r="C374">
            <v>603198809</v>
          </cell>
          <cell r="D374" t="str">
            <v>有・アメニテイライフ</v>
          </cell>
          <cell r="E374">
            <v>6704000</v>
          </cell>
          <cell r="F374">
            <v>5000000</v>
          </cell>
          <cell r="G374">
            <v>0</v>
          </cell>
          <cell r="H374">
            <v>5000000</v>
          </cell>
          <cell r="I374">
            <v>4</v>
          </cell>
        </row>
        <row r="375">
          <cell r="C375">
            <v>600727031</v>
          </cell>
          <cell r="D375" t="str">
            <v>岩本　長木　　　　　</v>
          </cell>
          <cell r="E375">
            <v>22029000</v>
          </cell>
          <cell r="F375">
            <v>3000000</v>
          </cell>
          <cell r="G375">
            <v>0</v>
          </cell>
          <cell r="H375">
            <v>3000000</v>
          </cell>
          <cell r="I375">
            <v>4</v>
          </cell>
        </row>
        <row r="376">
          <cell r="C376">
            <v>600729328</v>
          </cell>
          <cell r="D376" t="str">
            <v>株・小川工務店　　　</v>
          </cell>
          <cell r="E376">
            <v>20293000</v>
          </cell>
          <cell r="F376">
            <v>7000000</v>
          </cell>
          <cell r="G376">
            <v>0</v>
          </cell>
          <cell r="H376">
            <v>7000000</v>
          </cell>
          <cell r="I376">
            <v>3</v>
          </cell>
        </row>
        <row r="377">
          <cell r="C377">
            <v>600730103</v>
          </cell>
          <cell r="D377" t="str">
            <v>カツラ電器・有　　　</v>
          </cell>
          <cell r="E377">
            <v>29460000</v>
          </cell>
          <cell r="F377">
            <v>7000000</v>
          </cell>
          <cell r="G377">
            <v>0</v>
          </cell>
          <cell r="H377">
            <v>7000000</v>
          </cell>
          <cell r="I377">
            <v>3</v>
          </cell>
        </row>
        <row r="378">
          <cell r="C378">
            <v>600730290</v>
          </cell>
          <cell r="D378" t="str">
            <v>中嶋　今朝雄　　　　</v>
          </cell>
          <cell r="E378">
            <v>5693824</v>
          </cell>
          <cell r="F378">
            <v>5000000</v>
          </cell>
          <cell r="G378">
            <v>0</v>
          </cell>
          <cell r="H378">
            <v>5000000</v>
          </cell>
          <cell r="I378">
            <v>4</v>
          </cell>
        </row>
        <row r="379">
          <cell r="C379">
            <v>600731764</v>
          </cell>
          <cell r="D379" t="str">
            <v>株・高野町農産加工　</v>
          </cell>
          <cell r="E379">
            <v>34061011</v>
          </cell>
          <cell r="F379">
            <v>4000000</v>
          </cell>
          <cell r="G379">
            <v>0</v>
          </cell>
          <cell r="H379">
            <v>4000000</v>
          </cell>
          <cell r="I379">
            <v>3</v>
          </cell>
        </row>
        <row r="380">
          <cell r="C380">
            <v>600732283</v>
          </cell>
          <cell r="D380" t="str">
            <v>有・三喜工業　　　　</v>
          </cell>
          <cell r="E380">
            <v>21462000</v>
          </cell>
          <cell r="F380">
            <v>4000000</v>
          </cell>
          <cell r="G380">
            <v>0</v>
          </cell>
          <cell r="H380">
            <v>4000000</v>
          </cell>
          <cell r="I380">
            <v>3</v>
          </cell>
        </row>
        <row r="381">
          <cell r="C381">
            <v>600733279</v>
          </cell>
          <cell r="D381" t="str">
            <v>有・須田商事　　　　</v>
          </cell>
          <cell r="E381">
            <v>39812745</v>
          </cell>
          <cell r="F381">
            <v>8000000</v>
          </cell>
          <cell r="G381">
            <v>0</v>
          </cell>
          <cell r="H381">
            <v>8000000</v>
          </cell>
          <cell r="I381">
            <v>3</v>
          </cell>
        </row>
        <row r="382">
          <cell r="C382">
            <v>602495229</v>
          </cell>
          <cell r="D382" t="str">
            <v>宮崎　武治　　　　　</v>
          </cell>
          <cell r="E382">
            <v>0</v>
          </cell>
          <cell r="F382">
            <v>0</v>
          </cell>
          <cell r="G382">
            <v>0</v>
          </cell>
          <cell r="H382">
            <v>0</v>
          </cell>
          <cell r="I382" t="str">
            <v/>
          </cell>
        </row>
        <row r="383">
          <cell r="C383">
            <v>602625505</v>
          </cell>
          <cell r="D383" t="str">
            <v>株・高橋建設工業　　</v>
          </cell>
          <cell r="E383">
            <v>18152111</v>
          </cell>
          <cell r="F383">
            <v>3000000</v>
          </cell>
          <cell r="G383">
            <v>0</v>
          </cell>
          <cell r="H383">
            <v>3000000</v>
          </cell>
          <cell r="I383">
            <v>4</v>
          </cell>
        </row>
        <row r="384">
          <cell r="C384">
            <v>602698139</v>
          </cell>
          <cell r="D384" t="str">
            <v>株・中島左官工業　　</v>
          </cell>
          <cell r="E384">
            <v>32957000</v>
          </cell>
          <cell r="F384">
            <v>18000000</v>
          </cell>
          <cell r="G384">
            <v>0</v>
          </cell>
          <cell r="H384">
            <v>18000000</v>
          </cell>
          <cell r="I384">
            <v>4</v>
          </cell>
        </row>
        <row r="385">
          <cell r="C385">
            <v>603017301</v>
          </cell>
          <cell r="D385" t="str">
            <v>有・マツザワ　　　　</v>
          </cell>
          <cell r="E385">
            <v>3376000</v>
          </cell>
          <cell r="F385">
            <v>1000000</v>
          </cell>
          <cell r="G385">
            <v>0</v>
          </cell>
          <cell r="H385">
            <v>1000000</v>
          </cell>
          <cell r="I385">
            <v>3</v>
          </cell>
        </row>
        <row r="386">
          <cell r="C386">
            <v>600736541</v>
          </cell>
          <cell r="D386" t="str">
            <v>佐原　朝平　　　　　</v>
          </cell>
          <cell r="E386">
            <v>1110558</v>
          </cell>
          <cell r="F386">
            <v>1000000</v>
          </cell>
          <cell r="G386">
            <v>0</v>
          </cell>
          <cell r="H386">
            <v>1000000</v>
          </cell>
          <cell r="I386">
            <v>5</v>
          </cell>
        </row>
        <row r="387">
          <cell r="C387">
            <v>600739737</v>
          </cell>
          <cell r="D387" t="str">
            <v>上田　剛一郎　　　　</v>
          </cell>
          <cell r="E387">
            <v>5450000</v>
          </cell>
          <cell r="F387">
            <v>1000000</v>
          </cell>
          <cell r="G387">
            <v>0</v>
          </cell>
          <cell r="H387">
            <v>1000000</v>
          </cell>
          <cell r="I387">
            <v>4</v>
          </cell>
        </row>
        <row r="388">
          <cell r="C388">
            <v>602195471</v>
          </cell>
          <cell r="D388" t="str">
            <v>株・マルイ　　　　　</v>
          </cell>
          <cell r="E388">
            <v>16040000</v>
          </cell>
          <cell r="F388">
            <v>16000000</v>
          </cell>
          <cell r="G388">
            <v>0</v>
          </cell>
          <cell r="H388">
            <v>16000000</v>
          </cell>
          <cell r="I388">
            <v>5</v>
          </cell>
        </row>
        <row r="389">
          <cell r="C389">
            <v>602708105</v>
          </cell>
          <cell r="D389" t="str">
            <v>油井　英夫　　　　　</v>
          </cell>
          <cell r="E389">
            <v>0</v>
          </cell>
          <cell r="F389">
            <v>0</v>
          </cell>
          <cell r="G389">
            <v>0</v>
          </cell>
          <cell r="H389">
            <v>0</v>
          </cell>
          <cell r="I389" t="str">
            <v/>
          </cell>
        </row>
        <row r="390">
          <cell r="C390">
            <v>600617630</v>
          </cell>
          <cell r="D390" t="str">
            <v>林　春二　　　　　　</v>
          </cell>
          <cell r="E390">
            <v>5748037</v>
          </cell>
          <cell r="F390">
            <v>5000000</v>
          </cell>
          <cell r="G390">
            <v>0</v>
          </cell>
          <cell r="H390">
            <v>5000000</v>
          </cell>
          <cell r="I390">
            <v>4</v>
          </cell>
        </row>
        <row r="391">
          <cell r="C391">
            <v>600620964</v>
          </cell>
          <cell r="D391" t="str">
            <v>竹内　幸男　　　　　</v>
          </cell>
          <cell r="E391">
            <v>5054468</v>
          </cell>
          <cell r="F391">
            <v>3000000</v>
          </cell>
          <cell r="G391">
            <v>0</v>
          </cell>
          <cell r="H391">
            <v>3000000</v>
          </cell>
          <cell r="I391">
            <v>4</v>
          </cell>
        </row>
        <row r="392">
          <cell r="C392">
            <v>600666242</v>
          </cell>
          <cell r="D392" t="str">
            <v>古越　勉　　　　　　</v>
          </cell>
          <cell r="E392">
            <v>14034964</v>
          </cell>
          <cell r="F392">
            <v>1000000</v>
          </cell>
          <cell r="G392">
            <v>0</v>
          </cell>
          <cell r="H392">
            <v>1000000</v>
          </cell>
          <cell r="I392">
            <v>4</v>
          </cell>
        </row>
        <row r="393">
          <cell r="C393">
            <v>601909911</v>
          </cell>
          <cell r="D393" t="str">
            <v>草間　希恵　　　　　</v>
          </cell>
          <cell r="E393">
            <v>68431657</v>
          </cell>
          <cell r="F393">
            <v>16000000</v>
          </cell>
          <cell r="G393">
            <v>0</v>
          </cell>
          <cell r="H393">
            <v>16000000</v>
          </cell>
          <cell r="I393">
            <v>3</v>
          </cell>
        </row>
        <row r="394">
          <cell r="C394">
            <v>601923519</v>
          </cell>
          <cell r="D394" t="str">
            <v>株・ラボ　　　　　　</v>
          </cell>
          <cell r="E394">
            <v>91498042</v>
          </cell>
          <cell r="F394">
            <v>27733721</v>
          </cell>
          <cell r="G394">
            <v>27733721</v>
          </cell>
          <cell r="H394">
            <v>55467442</v>
          </cell>
          <cell r="I394">
            <v>5</v>
          </cell>
        </row>
        <row r="395">
          <cell r="C395">
            <v>601928503</v>
          </cell>
          <cell r="D395" t="str">
            <v>有・西軽井沢地所　　</v>
          </cell>
          <cell r="E395">
            <v>9340000</v>
          </cell>
          <cell r="F395">
            <v>2000000</v>
          </cell>
          <cell r="G395">
            <v>0</v>
          </cell>
          <cell r="H395">
            <v>2000000</v>
          </cell>
          <cell r="I395">
            <v>4</v>
          </cell>
        </row>
        <row r="396">
          <cell r="C396">
            <v>602088593</v>
          </cell>
          <cell r="D396" t="str">
            <v>株・林商事　　　　　</v>
          </cell>
          <cell r="E396">
            <v>41996937</v>
          </cell>
          <cell r="F396">
            <v>17585444</v>
          </cell>
          <cell r="G396">
            <v>17585443</v>
          </cell>
          <cell r="H396">
            <v>35170887</v>
          </cell>
          <cell r="I396">
            <v>5</v>
          </cell>
        </row>
        <row r="397">
          <cell r="C397">
            <v>602155086</v>
          </cell>
          <cell r="D397" t="str">
            <v>株・モリ建設工業　　</v>
          </cell>
          <cell r="E397">
            <v>66657056</v>
          </cell>
          <cell r="F397">
            <v>13252528</v>
          </cell>
          <cell r="G397">
            <v>13252528</v>
          </cell>
          <cell r="H397">
            <v>26505056</v>
          </cell>
          <cell r="I397">
            <v>5</v>
          </cell>
        </row>
        <row r="398">
          <cell r="C398">
            <v>602194441</v>
          </cell>
          <cell r="D398" t="str">
            <v>赤尾　秀廣　　　　　</v>
          </cell>
          <cell r="E398">
            <v>7059441</v>
          </cell>
          <cell r="F398">
            <v>3000000</v>
          </cell>
          <cell r="G398">
            <v>0</v>
          </cell>
          <cell r="H398">
            <v>3000000</v>
          </cell>
          <cell r="I398">
            <v>4</v>
          </cell>
        </row>
        <row r="399">
          <cell r="C399">
            <v>602210633</v>
          </cell>
          <cell r="D399" t="str">
            <v>株・ア－ク　　　　　</v>
          </cell>
          <cell r="E399">
            <v>15620054</v>
          </cell>
          <cell r="F399">
            <v>15000000</v>
          </cell>
          <cell r="G399">
            <v>0</v>
          </cell>
          <cell r="H399">
            <v>15000000</v>
          </cell>
          <cell r="I399">
            <v>4</v>
          </cell>
        </row>
        <row r="400">
          <cell r="C400">
            <v>602232477</v>
          </cell>
          <cell r="D400" t="str">
            <v>居川　郷子　　　　　</v>
          </cell>
          <cell r="E400">
            <v>36905200</v>
          </cell>
          <cell r="F400">
            <v>36000000</v>
          </cell>
          <cell r="G400">
            <v>0</v>
          </cell>
          <cell r="H400">
            <v>36000000</v>
          </cell>
          <cell r="I400">
            <v>4</v>
          </cell>
        </row>
        <row r="401">
          <cell r="C401">
            <v>602343331</v>
          </cell>
          <cell r="D401" t="str">
            <v>重田　惇　　　　　　</v>
          </cell>
          <cell r="E401">
            <v>17509152</v>
          </cell>
          <cell r="F401">
            <v>15000000</v>
          </cell>
          <cell r="G401">
            <v>0</v>
          </cell>
          <cell r="H401">
            <v>15000000</v>
          </cell>
          <cell r="I401">
            <v>4</v>
          </cell>
        </row>
        <row r="402">
          <cell r="C402">
            <v>602349919</v>
          </cell>
          <cell r="D402" t="str">
            <v>林　万美　　　　　　</v>
          </cell>
          <cell r="E402">
            <v>18037510</v>
          </cell>
          <cell r="F402">
            <v>18000000</v>
          </cell>
          <cell r="G402">
            <v>0</v>
          </cell>
          <cell r="H402">
            <v>18000000</v>
          </cell>
          <cell r="I402">
            <v>4</v>
          </cell>
        </row>
        <row r="403">
          <cell r="C403">
            <v>602475565</v>
          </cell>
          <cell r="D403" t="str">
            <v>有・ケーアイイープロ</v>
          </cell>
          <cell r="E403">
            <v>39320000</v>
          </cell>
          <cell r="F403">
            <v>12000000</v>
          </cell>
          <cell r="G403">
            <v>0</v>
          </cell>
          <cell r="H403">
            <v>12000000</v>
          </cell>
          <cell r="I403">
            <v>3</v>
          </cell>
        </row>
        <row r="404">
          <cell r="C404">
            <v>602485103</v>
          </cell>
          <cell r="D404" t="str">
            <v>林　みよ子　　　　　</v>
          </cell>
          <cell r="E404">
            <v>5400000</v>
          </cell>
          <cell r="F404">
            <v>5000000</v>
          </cell>
          <cell r="G404">
            <v>0</v>
          </cell>
          <cell r="H404">
            <v>5000000</v>
          </cell>
          <cell r="I404">
            <v>4</v>
          </cell>
        </row>
        <row r="405">
          <cell r="C405">
            <v>602802097</v>
          </cell>
          <cell r="D405" t="str">
            <v>大石　みどり　　　　</v>
          </cell>
          <cell r="E405">
            <v>61014519</v>
          </cell>
          <cell r="F405">
            <v>24000000</v>
          </cell>
          <cell r="G405">
            <v>0</v>
          </cell>
          <cell r="H405">
            <v>24000000</v>
          </cell>
          <cell r="I405">
            <v>4</v>
          </cell>
        </row>
        <row r="406">
          <cell r="C406">
            <v>602964458</v>
          </cell>
          <cell r="D406" t="str">
            <v>小林　喜八郎　　　　</v>
          </cell>
          <cell r="E406">
            <v>7270285</v>
          </cell>
          <cell r="F406">
            <v>7000000</v>
          </cell>
          <cell r="G406">
            <v>0</v>
          </cell>
          <cell r="H406">
            <v>7000000</v>
          </cell>
          <cell r="I406">
            <v>4</v>
          </cell>
        </row>
        <row r="407">
          <cell r="C407">
            <v>600668062</v>
          </cell>
          <cell r="D407" t="str">
            <v>小林　一繁　　　　　</v>
          </cell>
          <cell r="E407">
            <v>2899863</v>
          </cell>
          <cell r="F407">
            <v>2000000</v>
          </cell>
          <cell r="G407">
            <v>0</v>
          </cell>
          <cell r="H407">
            <v>2000000</v>
          </cell>
          <cell r="I407">
            <v>4</v>
          </cell>
        </row>
        <row r="408">
          <cell r="C408">
            <v>600690368</v>
          </cell>
          <cell r="D408" t="str">
            <v>株・アイケーツールイ</v>
          </cell>
          <cell r="E408">
            <v>26270000</v>
          </cell>
          <cell r="F408">
            <v>16000000</v>
          </cell>
          <cell r="G408">
            <v>0</v>
          </cell>
          <cell r="H408">
            <v>16000000</v>
          </cell>
          <cell r="I408">
            <v>5</v>
          </cell>
        </row>
        <row r="409">
          <cell r="C409">
            <v>602352950</v>
          </cell>
          <cell r="D409" t="str">
            <v>高橋　敬二　　　　　</v>
          </cell>
          <cell r="E409">
            <v>1558000</v>
          </cell>
          <cell r="F409">
            <v>1000000</v>
          </cell>
          <cell r="G409" t="str">
            <v/>
          </cell>
          <cell r="H409" t="e">
            <v>#VALUE!</v>
          </cell>
          <cell r="I409">
            <v>4</v>
          </cell>
        </row>
        <row r="410">
          <cell r="C410">
            <v>602551851</v>
          </cell>
          <cell r="D410" t="str">
            <v>井出　昭子　　　　　</v>
          </cell>
          <cell r="E410">
            <v>1266578</v>
          </cell>
          <cell r="F410">
            <v>1000000</v>
          </cell>
          <cell r="G410">
            <v>0</v>
          </cell>
          <cell r="H410">
            <v>1000000</v>
          </cell>
          <cell r="I410">
            <v>4</v>
          </cell>
        </row>
        <row r="411">
          <cell r="C411">
            <v>603671227</v>
          </cell>
          <cell r="D411" t="str">
            <v>株・エス．ケー．グル</v>
          </cell>
          <cell r="E411">
            <v>11100000</v>
          </cell>
          <cell r="F411">
            <v>3000000</v>
          </cell>
          <cell r="G411">
            <v>0</v>
          </cell>
          <cell r="H411">
            <v>3000000</v>
          </cell>
          <cell r="I411">
            <v>3</v>
          </cell>
        </row>
        <row r="412">
          <cell r="C412">
            <v>600755002</v>
          </cell>
          <cell r="D412" t="str">
            <v>マルシメ寳製絲・有　</v>
          </cell>
          <cell r="E412">
            <v>330000000</v>
          </cell>
          <cell r="F412">
            <v>93000000</v>
          </cell>
          <cell r="G412">
            <v>0</v>
          </cell>
          <cell r="H412">
            <v>93000000</v>
          </cell>
          <cell r="I412">
            <v>4</v>
          </cell>
        </row>
        <row r="413">
          <cell r="C413">
            <v>600757811</v>
          </cell>
          <cell r="D413" t="str">
            <v>松栄電気工業・株　　</v>
          </cell>
          <cell r="E413">
            <v>40838794</v>
          </cell>
          <cell r="F413">
            <v>10000000</v>
          </cell>
          <cell r="G413">
            <v>0</v>
          </cell>
          <cell r="H413">
            <v>10000000</v>
          </cell>
          <cell r="I413">
            <v>4</v>
          </cell>
        </row>
        <row r="414">
          <cell r="C414">
            <v>600758754</v>
          </cell>
          <cell r="D414" t="str">
            <v>松山興産・株　　　　</v>
          </cell>
          <cell r="E414">
            <v>33700000</v>
          </cell>
          <cell r="F414">
            <v>18000000</v>
          </cell>
          <cell r="G414">
            <v>0</v>
          </cell>
          <cell r="H414">
            <v>18000000</v>
          </cell>
          <cell r="I414">
            <v>4</v>
          </cell>
        </row>
        <row r="415">
          <cell r="C415">
            <v>600759413</v>
          </cell>
          <cell r="D415" t="str">
            <v>小原　孟敦　　　　　</v>
          </cell>
          <cell r="E415">
            <v>12120000</v>
          </cell>
          <cell r="F415">
            <v>2000000</v>
          </cell>
          <cell r="G415">
            <v>0</v>
          </cell>
          <cell r="H415">
            <v>2000000</v>
          </cell>
          <cell r="I415">
            <v>4</v>
          </cell>
        </row>
        <row r="416">
          <cell r="C416">
            <v>600765117</v>
          </cell>
          <cell r="D416" t="str">
            <v>株・筑摩工房　　　　</v>
          </cell>
          <cell r="E416">
            <v>25121000</v>
          </cell>
          <cell r="F416">
            <v>3000000</v>
          </cell>
          <cell r="G416">
            <v>0</v>
          </cell>
          <cell r="H416">
            <v>3000000</v>
          </cell>
          <cell r="I416">
            <v>3</v>
          </cell>
        </row>
        <row r="417">
          <cell r="C417">
            <v>600768749</v>
          </cell>
          <cell r="D417" t="str">
            <v>井口　広志　　　　　</v>
          </cell>
          <cell r="E417">
            <v>0</v>
          </cell>
          <cell r="F417">
            <v>0</v>
          </cell>
          <cell r="G417">
            <v>0</v>
          </cell>
          <cell r="H417">
            <v>0</v>
          </cell>
          <cell r="I417">
            <v>5</v>
          </cell>
        </row>
        <row r="418">
          <cell r="C418">
            <v>600774029</v>
          </cell>
          <cell r="D418" t="str">
            <v>株・ミスズレジャーセ</v>
          </cell>
          <cell r="E418">
            <v>600000000</v>
          </cell>
          <cell r="F418">
            <v>220610000</v>
          </cell>
          <cell r="G418">
            <v>114284000</v>
          </cell>
          <cell r="H418">
            <v>334894000</v>
          </cell>
          <cell r="I418">
            <v>5</v>
          </cell>
        </row>
        <row r="419">
          <cell r="C419">
            <v>600792734</v>
          </cell>
          <cell r="D419" t="str">
            <v>中田　幸一　　　　　</v>
          </cell>
          <cell r="E419">
            <v>105984000</v>
          </cell>
          <cell r="F419">
            <v>43000000</v>
          </cell>
          <cell r="G419">
            <v>0</v>
          </cell>
          <cell r="H419">
            <v>43000000</v>
          </cell>
          <cell r="I419">
            <v>3</v>
          </cell>
        </row>
        <row r="420">
          <cell r="C420">
            <v>600798792</v>
          </cell>
          <cell r="D420" t="str">
            <v>有・ナカタ　　　　　</v>
          </cell>
          <cell r="E420">
            <v>100379000</v>
          </cell>
          <cell r="F420">
            <v>38000000</v>
          </cell>
          <cell r="G420">
            <v>0</v>
          </cell>
          <cell r="H420">
            <v>38000000</v>
          </cell>
          <cell r="I420">
            <v>3</v>
          </cell>
        </row>
        <row r="421">
          <cell r="C421">
            <v>600802808</v>
          </cell>
          <cell r="D421" t="str">
            <v>松本クレーン・株　　</v>
          </cell>
          <cell r="E421">
            <v>200738000</v>
          </cell>
          <cell r="F421">
            <v>53000000</v>
          </cell>
          <cell r="G421">
            <v>0</v>
          </cell>
          <cell r="H421">
            <v>53000000</v>
          </cell>
          <cell r="I421">
            <v>3</v>
          </cell>
        </row>
        <row r="422">
          <cell r="C422">
            <v>600803981</v>
          </cell>
          <cell r="D422" t="str">
            <v>医療法人中田歯科医院</v>
          </cell>
          <cell r="E422">
            <v>133157000</v>
          </cell>
          <cell r="F422">
            <v>15000000</v>
          </cell>
          <cell r="G422">
            <v>0</v>
          </cell>
          <cell r="H422">
            <v>15000000</v>
          </cell>
          <cell r="I422">
            <v>3</v>
          </cell>
        </row>
        <row r="423">
          <cell r="C423">
            <v>600804139</v>
          </cell>
          <cell r="D423" t="str">
            <v>株・日商ハウジング　</v>
          </cell>
          <cell r="E423">
            <v>95350000</v>
          </cell>
          <cell r="F423">
            <v>95000000</v>
          </cell>
          <cell r="G423">
            <v>0</v>
          </cell>
          <cell r="H423">
            <v>95000000</v>
          </cell>
          <cell r="I423">
            <v>4</v>
          </cell>
        </row>
        <row r="424">
          <cell r="C424">
            <v>600812153</v>
          </cell>
          <cell r="D424" t="str">
            <v>有・ハヤマ　　　　　</v>
          </cell>
          <cell r="E424">
            <v>2350000</v>
          </cell>
          <cell r="F424">
            <v>2000000</v>
          </cell>
          <cell r="G424">
            <v>0</v>
          </cell>
          <cell r="H424">
            <v>2000000</v>
          </cell>
          <cell r="I424">
            <v>3</v>
          </cell>
        </row>
        <row r="425">
          <cell r="C425">
            <v>600831474</v>
          </cell>
          <cell r="D425" t="str">
            <v>株・ヤマトインテック</v>
          </cell>
          <cell r="E425">
            <v>1625049083</v>
          </cell>
          <cell r="F425">
            <v>508000000</v>
          </cell>
          <cell r="G425">
            <v>0</v>
          </cell>
          <cell r="H425">
            <v>508000000</v>
          </cell>
          <cell r="I425">
            <v>3</v>
          </cell>
        </row>
        <row r="426">
          <cell r="C426">
            <v>600884671</v>
          </cell>
          <cell r="D426" t="str">
            <v>有・菱和　　　　　　</v>
          </cell>
          <cell r="E426">
            <v>99525109</v>
          </cell>
          <cell r="F426">
            <v>9000000</v>
          </cell>
          <cell r="G426">
            <v>0</v>
          </cell>
          <cell r="H426">
            <v>9000000</v>
          </cell>
          <cell r="I426">
            <v>3</v>
          </cell>
        </row>
        <row r="427">
          <cell r="C427">
            <v>600896757</v>
          </cell>
          <cell r="D427" t="str">
            <v>渡辺　隆司　　　　　</v>
          </cell>
          <cell r="E427">
            <v>271216065</v>
          </cell>
          <cell r="F427">
            <v>204000000</v>
          </cell>
          <cell r="G427">
            <v>0</v>
          </cell>
          <cell r="H427">
            <v>204000000</v>
          </cell>
          <cell r="I427">
            <v>4</v>
          </cell>
        </row>
        <row r="428">
          <cell r="C428">
            <v>600899281</v>
          </cell>
          <cell r="D428" t="str">
            <v>斉藤　弘之　　　　　</v>
          </cell>
          <cell r="E428">
            <v>199604377</v>
          </cell>
          <cell r="F428">
            <v>75766189</v>
          </cell>
          <cell r="G428">
            <v>75766188</v>
          </cell>
          <cell r="H428">
            <v>151532377</v>
          </cell>
          <cell r="I428">
            <v>5</v>
          </cell>
        </row>
        <row r="429">
          <cell r="C429">
            <v>600970441</v>
          </cell>
          <cell r="D429" t="str">
            <v>広丘ショッピングタウ</v>
          </cell>
          <cell r="E429">
            <v>1506677400</v>
          </cell>
          <cell r="F429">
            <v>525000000</v>
          </cell>
          <cell r="G429">
            <v>0</v>
          </cell>
          <cell r="H429">
            <v>525000000</v>
          </cell>
          <cell r="I429">
            <v>3</v>
          </cell>
        </row>
        <row r="430">
          <cell r="C430">
            <v>601627085</v>
          </cell>
          <cell r="D430" t="str">
            <v>小松　庸子</v>
          </cell>
          <cell r="E430">
            <v>49496988</v>
          </cell>
          <cell r="F430">
            <v>8000000</v>
          </cell>
          <cell r="G430" t="str">
            <v/>
          </cell>
          <cell r="H430" t="e">
            <v>#VALUE!</v>
          </cell>
          <cell r="I430">
            <v>4</v>
          </cell>
        </row>
        <row r="431">
          <cell r="C431">
            <v>602137664</v>
          </cell>
          <cell r="D431" t="str">
            <v>磯辺　猛雄　　　　　</v>
          </cell>
          <cell r="E431">
            <v>32398152</v>
          </cell>
          <cell r="F431">
            <v>4000000</v>
          </cell>
          <cell r="G431">
            <v>0</v>
          </cell>
          <cell r="H431">
            <v>4000000</v>
          </cell>
          <cell r="I431">
            <v>3</v>
          </cell>
        </row>
        <row r="432">
          <cell r="C432">
            <v>603285165</v>
          </cell>
          <cell r="D432" t="str">
            <v>株・華翠楼　　　　　</v>
          </cell>
          <cell r="E432">
            <v>0</v>
          </cell>
          <cell r="F432">
            <v>0</v>
          </cell>
          <cell r="G432">
            <v>0</v>
          </cell>
          <cell r="H432">
            <v>0</v>
          </cell>
          <cell r="I432">
            <v>5</v>
          </cell>
        </row>
        <row r="433">
          <cell r="C433">
            <v>600791846</v>
          </cell>
          <cell r="D433" t="str">
            <v>株・吉川玉山堂　　　</v>
          </cell>
          <cell r="E433">
            <v>37071500</v>
          </cell>
          <cell r="F433">
            <v>6000000</v>
          </cell>
          <cell r="G433">
            <v>0</v>
          </cell>
          <cell r="H433">
            <v>6000000</v>
          </cell>
          <cell r="I433">
            <v>3</v>
          </cell>
        </row>
        <row r="434">
          <cell r="C434">
            <v>600793144</v>
          </cell>
          <cell r="D434" t="str">
            <v>三沢　真　　　　　　</v>
          </cell>
          <cell r="E434">
            <v>20576979</v>
          </cell>
          <cell r="F434">
            <v>12000000</v>
          </cell>
          <cell r="G434">
            <v>0</v>
          </cell>
          <cell r="H434">
            <v>12000000</v>
          </cell>
          <cell r="I434">
            <v>5</v>
          </cell>
        </row>
        <row r="435">
          <cell r="C435">
            <v>600794261</v>
          </cell>
          <cell r="D435" t="str">
            <v>三澤建設・有　　　　</v>
          </cell>
          <cell r="E435">
            <v>43983469</v>
          </cell>
          <cell r="F435">
            <v>10470760</v>
          </cell>
          <cell r="G435">
            <v>10470759</v>
          </cell>
          <cell r="H435">
            <v>20941519</v>
          </cell>
          <cell r="I435">
            <v>5</v>
          </cell>
        </row>
        <row r="436">
          <cell r="C436">
            <v>600796014</v>
          </cell>
          <cell r="D436" t="str">
            <v>有・米田屋　　　　　</v>
          </cell>
          <cell r="E436">
            <v>37320000</v>
          </cell>
          <cell r="F436">
            <v>2000000</v>
          </cell>
          <cell r="G436">
            <v>0</v>
          </cell>
          <cell r="H436">
            <v>2000000</v>
          </cell>
          <cell r="I436">
            <v>3</v>
          </cell>
        </row>
        <row r="437">
          <cell r="C437">
            <v>600796363</v>
          </cell>
          <cell r="D437" t="str">
            <v>有・ホテル新升　　　</v>
          </cell>
          <cell r="E437">
            <v>127090000</v>
          </cell>
          <cell r="F437">
            <v>21000000</v>
          </cell>
          <cell r="G437">
            <v>0</v>
          </cell>
          <cell r="H437">
            <v>21000000</v>
          </cell>
          <cell r="I437">
            <v>3</v>
          </cell>
        </row>
        <row r="438">
          <cell r="C438">
            <v>600798889</v>
          </cell>
          <cell r="D438" t="str">
            <v>株・ヒラバヤシ　　　</v>
          </cell>
          <cell r="E438">
            <v>91854000</v>
          </cell>
          <cell r="F438">
            <v>4000000</v>
          </cell>
          <cell r="G438">
            <v>0</v>
          </cell>
          <cell r="H438">
            <v>4000000</v>
          </cell>
          <cell r="I438">
            <v>3</v>
          </cell>
        </row>
        <row r="439">
          <cell r="C439">
            <v>600799417</v>
          </cell>
          <cell r="D439" t="str">
            <v>株・橋本工務店　　　</v>
          </cell>
          <cell r="E439">
            <v>0</v>
          </cell>
          <cell r="F439">
            <v>0</v>
          </cell>
          <cell r="G439">
            <v>0</v>
          </cell>
          <cell r="H439">
            <v>0</v>
          </cell>
          <cell r="I439" t="str">
            <v/>
          </cell>
        </row>
        <row r="440">
          <cell r="C440">
            <v>600801074</v>
          </cell>
          <cell r="D440" t="str">
            <v>株・システム　アイ　</v>
          </cell>
          <cell r="E440">
            <v>33888826</v>
          </cell>
          <cell r="F440">
            <v>16944413</v>
          </cell>
          <cell r="G440">
            <v>16944413</v>
          </cell>
          <cell r="H440">
            <v>33888826</v>
          </cell>
          <cell r="I440">
            <v>5</v>
          </cell>
        </row>
        <row r="441">
          <cell r="C441">
            <v>601629774</v>
          </cell>
          <cell r="D441" t="str">
            <v>小野　貴久</v>
          </cell>
          <cell r="E441">
            <v>5962992</v>
          </cell>
          <cell r="F441">
            <v>5000000</v>
          </cell>
          <cell r="G441" t="str">
            <v/>
          </cell>
          <cell r="H441" t="e">
            <v>#VALUE!</v>
          </cell>
          <cell r="I441">
            <v>4</v>
          </cell>
        </row>
        <row r="442">
          <cell r="C442">
            <v>601930318</v>
          </cell>
          <cell r="D442" t="str">
            <v>出崎　忠義　　　　　</v>
          </cell>
          <cell r="E442">
            <v>9700000</v>
          </cell>
          <cell r="F442">
            <v>7000000</v>
          </cell>
          <cell r="G442">
            <v>0</v>
          </cell>
          <cell r="H442">
            <v>7000000</v>
          </cell>
          <cell r="I442">
            <v>4</v>
          </cell>
        </row>
        <row r="443">
          <cell r="C443">
            <v>600759860</v>
          </cell>
          <cell r="D443" t="str">
            <v>株・プレジデント　　</v>
          </cell>
          <cell r="E443">
            <v>134394000</v>
          </cell>
          <cell r="F443">
            <v>83000000</v>
          </cell>
          <cell r="G443">
            <v>0</v>
          </cell>
          <cell r="H443">
            <v>83000000</v>
          </cell>
          <cell r="I443">
            <v>4</v>
          </cell>
        </row>
        <row r="444">
          <cell r="C444">
            <v>600810388</v>
          </cell>
          <cell r="D444" t="str">
            <v>有・鈴木鉄工所　　　</v>
          </cell>
          <cell r="E444">
            <v>74123021</v>
          </cell>
          <cell r="F444">
            <v>15061511</v>
          </cell>
          <cell r="G444">
            <v>15061510</v>
          </cell>
          <cell r="H444">
            <v>30123021</v>
          </cell>
          <cell r="I444">
            <v>5</v>
          </cell>
        </row>
        <row r="445">
          <cell r="C445">
            <v>600813085</v>
          </cell>
          <cell r="D445" t="str">
            <v>信栄器械・株　　　　</v>
          </cell>
          <cell r="E445">
            <v>5793351</v>
          </cell>
          <cell r="F445">
            <v>5000000</v>
          </cell>
          <cell r="G445">
            <v>0</v>
          </cell>
          <cell r="H445">
            <v>5000000</v>
          </cell>
          <cell r="I445">
            <v>5</v>
          </cell>
        </row>
        <row r="446">
          <cell r="C446">
            <v>600813345</v>
          </cell>
          <cell r="D446" t="str">
            <v>銭坂　明尚　　　　　</v>
          </cell>
          <cell r="E446">
            <v>12630000</v>
          </cell>
          <cell r="F446">
            <v>7000000</v>
          </cell>
          <cell r="G446">
            <v>0</v>
          </cell>
          <cell r="H446">
            <v>7000000</v>
          </cell>
          <cell r="I446">
            <v>3</v>
          </cell>
        </row>
        <row r="447">
          <cell r="C447">
            <v>600813585</v>
          </cell>
          <cell r="D447" t="str">
            <v>株・おもや平出酒店　</v>
          </cell>
          <cell r="E447">
            <v>7350000</v>
          </cell>
          <cell r="F447">
            <v>3000000</v>
          </cell>
          <cell r="G447">
            <v>0</v>
          </cell>
          <cell r="H447">
            <v>3000000</v>
          </cell>
          <cell r="I447">
            <v>3</v>
          </cell>
        </row>
        <row r="448">
          <cell r="C448">
            <v>600818937</v>
          </cell>
          <cell r="D448" t="str">
            <v>百瀬　豊　　　　　　</v>
          </cell>
          <cell r="E448">
            <v>30956737</v>
          </cell>
          <cell r="F448">
            <v>5000000</v>
          </cell>
          <cell r="G448">
            <v>0</v>
          </cell>
          <cell r="H448">
            <v>5000000</v>
          </cell>
          <cell r="I448">
            <v>3</v>
          </cell>
        </row>
        <row r="449">
          <cell r="C449">
            <v>602050511</v>
          </cell>
          <cell r="D449" t="str">
            <v>有・中央ストアー　　</v>
          </cell>
          <cell r="E449">
            <v>9879000</v>
          </cell>
          <cell r="F449">
            <v>5000000</v>
          </cell>
          <cell r="G449">
            <v>0</v>
          </cell>
          <cell r="H449">
            <v>5000000</v>
          </cell>
          <cell r="I449">
            <v>3</v>
          </cell>
        </row>
        <row r="450">
          <cell r="C450">
            <v>602884620</v>
          </cell>
          <cell r="D450" t="str">
            <v>有・渡辺モータース　</v>
          </cell>
          <cell r="E450">
            <v>3340000</v>
          </cell>
          <cell r="F450">
            <v>0</v>
          </cell>
          <cell r="G450">
            <v>0</v>
          </cell>
          <cell r="H450">
            <v>0</v>
          </cell>
          <cell r="I450">
            <v>3</v>
          </cell>
        </row>
        <row r="451">
          <cell r="C451">
            <v>602990523</v>
          </cell>
          <cell r="D451" t="str">
            <v>株・ファンタジーホー</v>
          </cell>
          <cell r="E451">
            <v>2750000</v>
          </cell>
          <cell r="F451">
            <v>2000000</v>
          </cell>
          <cell r="G451">
            <v>0</v>
          </cell>
          <cell r="H451">
            <v>2000000</v>
          </cell>
          <cell r="I451">
            <v>5</v>
          </cell>
        </row>
        <row r="452">
          <cell r="C452">
            <v>600836217</v>
          </cell>
          <cell r="D452" t="str">
            <v>西村木材・有　　　　</v>
          </cell>
          <cell r="E452">
            <v>80050000</v>
          </cell>
          <cell r="F452">
            <v>53000000</v>
          </cell>
          <cell r="G452">
            <v>0</v>
          </cell>
          <cell r="H452">
            <v>53000000</v>
          </cell>
          <cell r="I452">
            <v>4</v>
          </cell>
        </row>
        <row r="453">
          <cell r="C453">
            <v>600838179</v>
          </cell>
          <cell r="D453" t="str">
            <v>株・スピカモール　　</v>
          </cell>
          <cell r="E453">
            <v>258244000</v>
          </cell>
          <cell r="F453">
            <v>156000000</v>
          </cell>
          <cell r="G453">
            <v>0</v>
          </cell>
          <cell r="H453">
            <v>156000000</v>
          </cell>
          <cell r="I453">
            <v>4</v>
          </cell>
        </row>
        <row r="454">
          <cell r="C454">
            <v>600839154</v>
          </cell>
          <cell r="D454" t="str">
            <v>松本大同青果・株　　</v>
          </cell>
          <cell r="E454">
            <v>305675000</v>
          </cell>
          <cell r="F454">
            <v>178000000</v>
          </cell>
          <cell r="G454">
            <v>0</v>
          </cell>
          <cell r="H454">
            <v>178000000</v>
          </cell>
          <cell r="I454">
            <v>3</v>
          </cell>
        </row>
        <row r="455">
          <cell r="C455">
            <v>600842846</v>
          </cell>
          <cell r="D455" t="str">
            <v>中山　克久　　　　　</v>
          </cell>
          <cell r="E455">
            <v>1734973</v>
          </cell>
          <cell r="F455">
            <v>1000000</v>
          </cell>
          <cell r="G455">
            <v>0</v>
          </cell>
          <cell r="H455">
            <v>1000000</v>
          </cell>
          <cell r="I455">
            <v>4</v>
          </cell>
        </row>
        <row r="456">
          <cell r="C456">
            <v>600849998</v>
          </cell>
          <cell r="D456" t="str">
            <v>株・スピカイン　　　</v>
          </cell>
          <cell r="E456">
            <v>33930000</v>
          </cell>
          <cell r="F456">
            <v>10000000</v>
          </cell>
          <cell r="G456">
            <v>0</v>
          </cell>
          <cell r="H456">
            <v>10000000</v>
          </cell>
          <cell r="I456">
            <v>4</v>
          </cell>
        </row>
        <row r="457">
          <cell r="C457">
            <v>600872442</v>
          </cell>
          <cell r="D457" t="str">
            <v>小山　在哲　　　　　</v>
          </cell>
          <cell r="E457">
            <v>287997000</v>
          </cell>
          <cell r="F457">
            <v>109000000</v>
          </cell>
          <cell r="G457">
            <v>0</v>
          </cell>
          <cell r="H457">
            <v>109000000</v>
          </cell>
          <cell r="I457">
            <v>3</v>
          </cell>
        </row>
        <row r="458">
          <cell r="C458">
            <v>600882840</v>
          </cell>
          <cell r="D458" t="str">
            <v>株・中信パック　　　</v>
          </cell>
          <cell r="E458">
            <v>48760000</v>
          </cell>
          <cell r="F458">
            <v>14000000</v>
          </cell>
          <cell r="G458">
            <v>0</v>
          </cell>
          <cell r="H458">
            <v>14000000</v>
          </cell>
          <cell r="I458">
            <v>4</v>
          </cell>
        </row>
        <row r="459">
          <cell r="C459">
            <v>600884115</v>
          </cell>
          <cell r="D459" t="str">
            <v>株・スズイチ　　　　</v>
          </cell>
          <cell r="E459">
            <v>254731000</v>
          </cell>
          <cell r="F459">
            <v>83000000</v>
          </cell>
          <cell r="G459">
            <v>0</v>
          </cell>
          <cell r="H459">
            <v>83000000</v>
          </cell>
          <cell r="I459">
            <v>3</v>
          </cell>
        </row>
        <row r="460">
          <cell r="C460">
            <v>601676979</v>
          </cell>
          <cell r="D460" t="str">
            <v>株・エム・シー・エル</v>
          </cell>
          <cell r="E460">
            <v>1439850825</v>
          </cell>
          <cell r="F460">
            <v>804000000</v>
          </cell>
          <cell r="G460" t="str">
            <v/>
          </cell>
          <cell r="H460" t="e">
            <v>#VALUE!</v>
          </cell>
          <cell r="I460">
            <v>3</v>
          </cell>
        </row>
        <row r="461">
          <cell r="C461">
            <v>602212017</v>
          </cell>
          <cell r="D461" t="str">
            <v>和田　文夫　　　　　</v>
          </cell>
          <cell r="E461">
            <v>0</v>
          </cell>
          <cell r="F461">
            <v>0</v>
          </cell>
          <cell r="G461">
            <v>0</v>
          </cell>
          <cell r="H461">
            <v>0</v>
          </cell>
          <cell r="I461">
            <v>4</v>
          </cell>
        </row>
        <row r="462">
          <cell r="C462">
            <v>602999004</v>
          </cell>
          <cell r="D462" t="str">
            <v>友峰住地建設・有　　</v>
          </cell>
          <cell r="E462">
            <v>284147716</v>
          </cell>
          <cell r="F462">
            <v>90568908</v>
          </cell>
          <cell r="G462">
            <v>90568908</v>
          </cell>
          <cell r="H462">
            <v>181137816</v>
          </cell>
          <cell r="I462">
            <v>5</v>
          </cell>
        </row>
        <row r="463">
          <cell r="C463">
            <v>603113884</v>
          </cell>
          <cell r="D463" t="str">
            <v>有・サスコ　　　　　</v>
          </cell>
          <cell r="E463">
            <v>0</v>
          </cell>
          <cell r="F463">
            <v>34000000</v>
          </cell>
          <cell r="G463">
            <v>0</v>
          </cell>
          <cell r="H463">
            <v>34000000</v>
          </cell>
          <cell r="I463">
            <v>3</v>
          </cell>
        </row>
        <row r="464">
          <cell r="C464">
            <v>603758705</v>
          </cell>
          <cell r="D464" t="str">
            <v>セントラルパック・株</v>
          </cell>
          <cell r="E464">
            <v>158810000</v>
          </cell>
          <cell r="F464">
            <v>15000000</v>
          </cell>
          <cell r="G464">
            <v>0</v>
          </cell>
          <cell r="H464">
            <v>15000000</v>
          </cell>
          <cell r="I464">
            <v>3</v>
          </cell>
        </row>
        <row r="465">
          <cell r="C465">
            <v>600776969</v>
          </cell>
          <cell r="D465" t="str">
            <v>塩原　英久　　　　　</v>
          </cell>
          <cell r="E465">
            <v>26910020</v>
          </cell>
          <cell r="F465">
            <v>12000000</v>
          </cell>
          <cell r="G465">
            <v>0</v>
          </cell>
          <cell r="H465">
            <v>12000000</v>
          </cell>
          <cell r="I465">
            <v>3</v>
          </cell>
        </row>
        <row r="466">
          <cell r="C466">
            <v>600866368</v>
          </cell>
          <cell r="D466" t="str">
            <v>小林　嘉一　　　　　</v>
          </cell>
          <cell r="E466">
            <v>37250000</v>
          </cell>
          <cell r="F466">
            <v>15000000</v>
          </cell>
          <cell r="G466">
            <v>0</v>
          </cell>
          <cell r="H466">
            <v>15000000</v>
          </cell>
          <cell r="I466">
            <v>4</v>
          </cell>
        </row>
        <row r="467">
          <cell r="C467">
            <v>600867745</v>
          </cell>
          <cell r="D467" t="str">
            <v>丸大建設・株　　　　</v>
          </cell>
          <cell r="E467">
            <v>26550000</v>
          </cell>
          <cell r="F467">
            <v>16000000</v>
          </cell>
          <cell r="G467">
            <v>0</v>
          </cell>
          <cell r="H467">
            <v>16000000</v>
          </cell>
          <cell r="I467">
            <v>4</v>
          </cell>
        </row>
        <row r="468">
          <cell r="C468">
            <v>601011034</v>
          </cell>
          <cell r="D468" t="str">
            <v>藤岡　隆久　　　　　</v>
          </cell>
          <cell r="E468">
            <v>2300000</v>
          </cell>
          <cell r="F468">
            <v>2000000</v>
          </cell>
          <cell r="G468">
            <v>0</v>
          </cell>
          <cell r="H468">
            <v>2000000</v>
          </cell>
          <cell r="I468">
            <v>4</v>
          </cell>
        </row>
        <row r="469">
          <cell r="C469">
            <v>601858106</v>
          </cell>
          <cell r="D469" t="str">
            <v>清水　一男　　　　　</v>
          </cell>
          <cell r="E469">
            <v>9040000</v>
          </cell>
          <cell r="F469">
            <v>5000000</v>
          </cell>
          <cell r="G469">
            <v>0</v>
          </cell>
          <cell r="H469">
            <v>5000000</v>
          </cell>
          <cell r="I469">
            <v>3</v>
          </cell>
        </row>
        <row r="470">
          <cell r="C470">
            <v>601974505</v>
          </cell>
          <cell r="D470" t="str">
            <v>栄信総合開発・株　　</v>
          </cell>
          <cell r="E470">
            <v>2455300000</v>
          </cell>
          <cell r="F470">
            <v>1797000000</v>
          </cell>
          <cell r="G470">
            <v>0</v>
          </cell>
          <cell r="H470">
            <v>1797000000</v>
          </cell>
          <cell r="I470">
            <v>4</v>
          </cell>
        </row>
        <row r="471">
          <cell r="C471">
            <v>602128056</v>
          </cell>
          <cell r="D471" t="str">
            <v>原田　勇　　　　　　</v>
          </cell>
          <cell r="E471">
            <v>1165182</v>
          </cell>
          <cell r="F471">
            <v>1000000</v>
          </cell>
          <cell r="G471">
            <v>0</v>
          </cell>
          <cell r="H471">
            <v>1000000</v>
          </cell>
          <cell r="I471">
            <v>4</v>
          </cell>
        </row>
        <row r="472">
          <cell r="C472">
            <v>602214728</v>
          </cell>
          <cell r="D472" t="str">
            <v>株・モアレ　　　　　</v>
          </cell>
          <cell r="E472">
            <v>47700000</v>
          </cell>
          <cell r="F472">
            <v>38000000</v>
          </cell>
          <cell r="G472">
            <v>0</v>
          </cell>
          <cell r="H472">
            <v>38000000</v>
          </cell>
          <cell r="I472">
            <v>4</v>
          </cell>
        </row>
        <row r="473">
          <cell r="C473">
            <v>602396354</v>
          </cell>
          <cell r="D473" t="str">
            <v>有・結城　　　　　　</v>
          </cell>
          <cell r="E473">
            <v>29250000</v>
          </cell>
          <cell r="F473">
            <v>29000000</v>
          </cell>
          <cell r="G473">
            <v>0</v>
          </cell>
          <cell r="H473">
            <v>29000000</v>
          </cell>
          <cell r="I473">
            <v>4</v>
          </cell>
        </row>
        <row r="474">
          <cell r="C474">
            <v>603035898</v>
          </cell>
          <cell r="D474" t="str">
            <v>有・セントラルテープ</v>
          </cell>
          <cell r="E474">
            <v>1500000</v>
          </cell>
          <cell r="F474">
            <v>1000000</v>
          </cell>
          <cell r="G474">
            <v>0</v>
          </cell>
          <cell r="H474">
            <v>1000000</v>
          </cell>
          <cell r="I474">
            <v>4</v>
          </cell>
        </row>
        <row r="475">
          <cell r="C475">
            <v>603392685</v>
          </cell>
          <cell r="D475" t="str">
            <v>上條　きわ子　　　　</v>
          </cell>
          <cell r="E475">
            <v>21732385</v>
          </cell>
          <cell r="F475">
            <v>21000000</v>
          </cell>
          <cell r="G475">
            <v>0</v>
          </cell>
          <cell r="H475">
            <v>21000000</v>
          </cell>
          <cell r="I475">
            <v>4</v>
          </cell>
        </row>
        <row r="476">
          <cell r="C476">
            <v>600770434</v>
          </cell>
          <cell r="D476" t="str">
            <v>笹谷　良一　　　　　</v>
          </cell>
          <cell r="E476">
            <v>8958022</v>
          </cell>
          <cell r="F476">
            <v>1000000</v>
          </cell>
          <cell r="G476">
            <v>0</v>
          </cell>
          <cell r="H476">
            <v>1000000</v>
          </cell>
          <cell r="I476">
            <v>3</v>
          </cell>
        </row>
        <row r="477">
          <cell r="C477">
            <v>600878673</v>
          </cell>
          <cell r="D477" t="str">
            <v>株・のむら　　　　　</v>
          </cell>
          <cell r="E477">
            <v>199012735</v>
          </cell>
          <cell r="F477">
            <v>81000000</v>
          </cell>
          <cell r="G477">
            <v>0</v>
          </cell>
          <cell r="H477">
            <v>81000000</v>
          </cell>
          <cell r="I477">
            <v>4</v>
          </cell>
        </row>
        <row r="478">
          <cell r="C478">
            <v>600881016</v>
          </cell>
          <cell r="D478" t="str">
            <v>株・全装　　　　　　</v>
          </cell>
          <cell r="E478">
            <v>0</v>
          </cell>
          <cell r="F478">
            <v>0</v>
          </cell>
          <cell r="G478">
            <v>0</v>
          </cell>
          <cell r="H478">
            <v>0</v>
          </cell>
          <cell r="I478" t="str">
            <v/>
          </cell>
        </row>
        <row r="479">
          <cell r="C479">
            <v>603781760</v>
          </cell>
          <cell r="D479" t="str">
            <v>有限会社ニッショウ</v>
          </cell>
          <cell r="E479">
            <v>29700568</v>
          </cell>
          <cell r="F479">
            <v>7000000</v>
          </cell>
          <cell r="G479" t="str">
            <v/>
          </cell>
          <cell r="H479" t="e">
            <v>#VALUE!</v>
          </cell>
          <cell r="I479">
            <v>4</v>
          </cell>
        </row>
        <row r="480">
          <cell r="C480">
            <v>603221258</v>
          </cell>
          <cell r="D480" t="str">
            <v>高山　昌治　　　　　</v>
          </cell>
          <cell r="E480">
            <v>2445000</v>
          </cell>
          <cell r="F480">
            <v>0</v>
          </cell>
          <cell r="G480">
            <v>0</v>
          </cell>
          <cell r="H480">
            <v>0</v>
          </cell>
          <cell r="I480">
            <v>4</v>
          </cell>
        </row>
        <row r="481">
          <cell r="C481">
            <v>602187979</v>
          </cell>
          <cell r="D481" t="str">
            <v>サンキョウリ－ス販売</v>
          </cell>
          <cell r="E481">
            <v>0</v>
          </cell>
          <cell r="F481">
            <v>0</v>
          </cell>
          <cell r="G481">
            <v>0</v>
          </cell>
          <cell r="H481">
            <v>0</v>
          </cell>
          <cell r="I481">
            <v>5</v>
          </cell>
        </row>
        <row r="482">
          <cell r="C482">
            <v>600750409</v>
          </cell>
          <cell r="D482" t="str">
            <v>有・ズーム　　　　　</v>
          </cell>
          <cell r="E482">
            <v>69029258</v>
          </cell>
          <cell r="F482">
            <v>3000000</v>
          </cell>
          <cell r="G482">
            <v>0</v>
          </cell>
          <cell r="H482">
            <v>3000000</v>
          </cell>
          <cell r="I482">
            <v>3</v>
          </cell>
        </row>
        <row r="483">
          <cell r="C483">
            <v>600907568</v>
          </cell>
          <cell r="D483" t="str">
            <v>株・ライフアカデミー</v>
          </cell>
          <cell r="E483">
            <v>120714800</v>
          </cell>
          <cell r="F483">
            <v>0</v>
          </cell>
          <cell r="G483">
            <v>0</v>
          </cell>
          <cell r="H483">
            <v>0</v>
          </cell>
          <cell r="I483">
            <v>4</v>
          </cell>
        </row>
        <row r="484">
          <cell r="C484">
            <v>600910836</v>
          </cell>
          <cell r="D484" t="str">
            <v>有・丸森　　　　　　</v>
          </cell>
          <cell r="E484">
            <v>2128400</v>
          </cell>
          <cell r="F484">
            <v>2000000</v>
          </cell>
          <cell r="G484">
            <v>0</v>
          </cell>
          <cell r="H484">
            <v>2000000</v>
          </cell>
          <cell r="I484">
            <v>3</v>
          </cell>
        </row>
        <row r="485">
          <cell r="C485">
            <v>602643374</v>
          </cell>
          <cell r="D485" t="str">
            <v>株・佐野工務所　　　</v>
          </cell>
          <cell r="E485">
            <v>30992000</v>
          </cell>
          <cell r="F485">
            <v>5000000</v>
          </cell>
          <cell r="G485">
            <v>0</v>
          </cell>
          <cell r="H485">
            <v>5000000</v>
          </cell>
          <cell r="I485">
            <v>4</v>
          </cell>
        </row>
        <row r="486">
          <cell r="C486">
            <v>602775673</v>
          </cell>
          <cell r="D486" t="str">
            <v>小林　敏幸　　　　　</v>
          </cell>
          <cell r="E486">
            <v>1970000</v>
          </cell>
          <cell r="F486">
            <v>1000000</v>
          </cell>
          <cell r="G486">
            <v>0</v>
          </cell>
          <cell r="H486">
            <v>1000000</v>
          </cell>
          <cell r="I486">
            <v>4</v>
          </cell>
        </row>
        <row r="487">
          <cell r="C487">
            <v>603837483</v>
          </cell>
          <cell r="D487" t="str">
            <v>倉科　彰夫　　　　　</v>
          </cell>
          <cell r="E487">
            <v>15000000</v>
          </cell>
          <cell r="F487">
            <v>3000000</v>
          </cell>
          <cell r="G487">
            <v>0</v>
          </cell>
          <cell r="H487">
            <v>3000000</v>
          </cell>
          <cell r="I487">
            <v>4</v>
          </cell>
        </row>
        <row r="488">
          <cell r="C488">
            <v>602679396</v>
          </cell>
          <cell r="D488" t="str">
            <v>有・八幡開発　　　　</v>
          </cell>
          <cell r="E488">
            <v>42500000</v>
          </cell>
          <cell r="F488">
            <v>10000000</v>
          </cell>
          <cell r="G488">
            <v>0</v>
          </cell>
          <cell r="H488">
            <v>10000000</v>
          </cell>
          <cell r="I488">
            <v>3</v>
          </cell>
        </row>
        <row r="489">
          <cell r="C489">
            <v>600918594</v>
          </cell>
          <cell r="D489" t="str">
            <v>有・中村屋　　　　　</v>
          </cell>
          <cell r="E489">
            <v>31283103</v>
          </cell>
          <cell r="F489">
            <v>2000000</v>
          </cell>
          <cell r="G489">
            <v>0</v>
          </cell>
          <cell r="H489">
            <v>2000000</v>
          </cell>
          <cell r="I489">
            <v>3</v>
          </cell>
        </row>
        <row r="490">
          <cell r="C490">
            <v>600918647</v>
          </cell>
          <cell r="D490" t="str">
            <v>株・地本屋旅館　　　</v>
          </cell>
          <cell r="E490">
            <v>474473000</v>
          </cell>
          <cell r="F490">
            <v>352000000</v>
          </cell>
          <cell r="G490">
            <v>0</v>
          </cell>
          <cell r="H490">
            <v>352000000</v>
          </cell>
          <cell r="I490">
            <v>4</v>
          </cell>
        </row>
        <row r="491">
          <cell r="C491">
            <v>600922456</v>
          </cell>
          <cell r="D491" t="str">
            <v>内田　健司　　　　　</v>
          </cell>
          <cell r="E491">
            <v>10400072</v>
          </cell>
          <cell r="F491">
            <v>10000000</v>
          </cell>
          <cell r="G491">
            <v>0</v>
          </cell>
          <cell r="H491">
            <v>10000000</v>
          </cell>
          <cell r="I491">
            <v>4</v>
          </cell>
        </row>
        <row r="492">
          <cell r="C492">
            <v>600923908</v>
          </cell>
          <cell r="D492" t="str">
            <v>株・小柳　　　　　　</v>
          </cell>
          <cell r="E492">
            <v>982242222</v>
          </cell>
          <cell r="F492">
            <v>234000000</v>
          </cell>
          <cell r="G492">
            <v>0</v>
          </cell>
          <cell r="H492">
            <v>234000000</v>
          </cell>
          <cell r="I492">
            <v>3</v>
          </cell>
        </row>
        <row r="493">
          <cell r="C493">
            <v>600923942</v>
          </cell>
          <cell r="D493" t="str">
            <v>株・ホテル富貴の湯　</v>
          </cell>
          <cell r="E493">
            <v>1079673000</v>
          </cell>
          <cell r="F493">
            <v>588000000</v>
          </cell>
          <cell r="G493">
            <v>0</v>
          </cell>
          <cell r="H493">
            <v>588000000</v>
          </cell>
          <cell r="I493">
            <v>3</v>
          </cell>
        </row>
        <row r="494">
          <cell r="C494">
            <v>601722745</v>
          </cell>
          <cell r="D494" t="str">
            <v>有・史温　　　　　　</v>
          </cell>
          <cell r="E494">
            <v>34339863</v>
          </cell>
          <cell r="F494">
            <v>2000000</v>
          </cell>
          <cell r="G494">
            <v>0</v>
          </cell>
          <cell r="H494">
            <v>2000000</v>
          </cell>
          <cell r="I494">
            <v>4</v>
          </cell>
        </row>
        <row r="495">
          <cell r="C495">
            <v>602424415</v>
          </cell>
          <cell r="D495" t="str">
            <v>有・梅の湯　　　　　</v>
          </cell>
          <cell r="E495">
            <v>213085000</v>
          </cell>
          <cell r="F495">
            <v>127000000</v>
          </cell>
          <cell r="G495">
            <v>0</v>
          </cell>
          <cell r="H495">
            <v>127000000</v>
          </cell>
          <cell r="I495">
            <v>4</v>
          </cell>
        </row>
        <row r="496">
          <cell r="C496">
            <v>602951113</v>
          </cell>
          <cell r="D496" t="str">
            <v>有・枇杷の湯　　　　</v>
          </cell>
          <cell r="E496">
            <v>102607000</v>
          </cell>
          <cell r="F496">
            <v>6000000</v>
          </cell>
          <cell r="G496">
            <v>0</v>
          </cell>
          <cell r="H496">
            <v>6000000</v>
          </cell>
          <cell r="I496">
            <v>3</v>
          </cell>
        </row>
        <row r="497">
          <cell r="C497">
            <v>600926954</v>
          </cell>
          <cell r="D497" t="str">
            <v>藤沢　正尚　　　　　</v>
          </cell>
          <cell r="E497">
            <v>33619000</v>
          </cell>
          <cell r="F497">
            <v>2000000</v>
          </cell>
          <cell r="G497">
            <v>0</v>
          </cell>
          <cell r="H497">
            <v>2000000</v>
          </cell>
          <cell r="I497">
            <v>3</v>
          </cell>
        </row>
        <row r="498">
          <cell r="C498">
            <v>600930512</v>
          </cell>
          <cell r="D498" t="str">
            <v>有・シナノ破砕　　　</v>
          </cell>
          <cell r="E498">
            <v>47745591</v>
          </cell>
          <cell r="F498">
            <v>5000000</v>
          </cell>
          <cell r="G498">
            <v>0</v>
          </cell>
          <cell r="H498">
            <v>5000000</v>
          </cell>
          <cell r="I498">
            <v>3</v>
          </cell>
        </row>
        <row r="499">
          <cell r="C499">
            <v>600931444</v>
          </cell>
          <cell r="D499" t="str">
            <v>中村　澄康　　　　　</v>
          </cell>
          <cell r="E499">
            <v>6680000</v>
          </cell>
          <cell r="F499">
            <v>2000000</v>
          </cell>
          <cell r="G499">
            <v>0</v>
          </cell>
          <cell r="H499">
            <v>2000000</v>
          </cell>
          <cell r="I499">
            <v>4</v>
          </cell>
        </row>
        <row r="500">
          <cell r="C500">
            <v>600933384</v>
          </cell>
          <cell r="D500" t="str">
            <v>共和電化工業・株　　</v>
          </cell>
          <cell r="E500">
            <v>156957767</v>
          </cell>
          <cell r="F500">
            <v>20000000</v>
          </cell>
          <cell r="G500" t="str">
            <v/>
          </cell>
          <cell r="H500" t="e">
            <v>#VALUE!</v>
          </cell>
          <cell r="I500">
            <v>5</v>
          </cell>
        </row>
        <row r="501">
          <cell r="C501">
            <v>602212137</v>
          </cell>
          <cell r="D501" t="str">
            <v>医療法人宮島外科医院</v>
          </cell>
          <cell r="E501">
            <v>3600000</v>
          </cell>
          <cell r="F501">
            <v>3000000</v>
          </cell>
          <cell r="G501">
            <v>0</v>
          </cell>
          <cell r="H501">
            <v>3000000</v>
          </cell>
          <cell r="I501">
            <v>4</v>
          </cell>
        </row>
        <row r="502">
          <cell r="C502">
            <v>603149426</v>
          </cell>
          <cell r="D502" t="str">
            <v>有・上ノ原農園土壌環</v>
          </cell>
          <cell r="E502">
            <v>7360000</v>
          </cell>
          <cell r="F502">
            <v>4000000</v>
          </cell>
          <cell r="G502" t="str">
            <v/>
          </cell>
          <cell r="H502" t="e">
            <v>#VALUE!</v>
          </cell>
          <cell r="I502">
            <v>3</v>
          </cell>
        </row>
        <row r="503">
          <cell r="C503">
            <v>603210559</v>
          </cell>
          <cell r="D503" t="str">
            <v>渡辺　智行　　　　　</v>
          </cell>
          <cell r="E503">
            <v>1740000</v>
          </cell>
          <cell r="F503">
            <v>1000000</v>
          </cell>
          <cell r="G503">
            <v>0</v>
          </cell>
          <cell r="H503">
            <v>1000000</v>
          </cell>
          <cell r="I503">
            <v>4</v>
          </cell>
        </row>
        <row r="504">
          <cell r="C504">
            <v>600864342</v>
          </cell>
          <cell r="D504" t="str">
            <v>住　清三　　　　　　</v>
          </cell>
          <cell r="E504">
            <v>87240000</v>
          </cell>
          <cell r="F504">
            <v>43000000</v>
          </cell>
          <cell r="G504">
            <v>0</v>
          </cell>
          <cell r="H504">
            <v>43000000</v>
          </cell>
          <cell r="I504">
            <v>3</v>
          </cell>
        </row>
        <row r="505">
          <cell r="C505">
            <v>600938292</v>
          </cell>
          <cell r="D505" t="str">
            <v>株・いはる　　　　　</v>
          </cell>
          <cell r="E505">
            <v>115134612</v>
          </cell>
          <cell r="F505">
            <v>31881651</v>
          </cell>
          <cell r="G505">
            <v>31881650</v>
          </cell>
          <cell r="H505">
            <v>63763301</v>
          </cell>
          <cell r="I505">
            <v>5</v>
          </cell>
        </row>
        <row r="506">
          <cell r="C506">
            <v>600938334</v>
          </cell>
          <cell r="D506" t="str">
            <v>日本ハイコム・株　　</v>
          </cell>
          <cell r="E506">
            <v>629078291</v>
          </cell>
          <cell r="F506">
            <v>230000000</v>
          </cell>
          <cell r="G506">
            <v>0</v>
          </cell>
          <cell r="H506">
            <v>230000000</v>
          </cell>
          <cell r="I506">
            <v>3</v>
          </cell>
        </row>
        <row r="507">
          <cell r="C507">
            <v>600941624</v>
          </cell>
          <cell r="D507" t="str">
            <v>有・贄田興業　　　　</v>
          </cell>
          <cell r="E507">
            <v>154805000</v>
          </cell>
          <cell r="F507">
            <v>92000000</v>
          </cell>
          <cell r="G507">
            <v>0</v>
          </cell>
          <cell r="H507">
            <v>92000000</v>
          </cell>
          <cell r="I507">
            <v>4</v>
          </cell>
        </row>
        <row r="508">
          <cell r="C508">
            <v>600942252</v>
          </cell>
          <cell r="D508" t="str">
            <v>贄田　繁子　　　　　</v>
          </cell>
          <cell r="E508">
            <v>25777393</v>
          </cell>
          <cell r="F508">
            <v>10000000</v>
          </cell>
          <cell r="G508">
            <v>0</v>
          </cell>
          <cell r="H508">
            <v>10000000</v>
          </cell>
          <cell r="I508">
            <v>4</v>
          </cell>
        </row>
        <row r="509">
          <cell r="C509">
            <v>600942872</v>
          </cell>
          <cell r="D509" t="str">
            <v>贄田　泰子　　　　　</v>
          </cell>
          <cell r="E509">
            <v>9380022</v>
          </cell>
          <cell r="F509">
            <v>2000000</v>
          </cell>
          <cell r="G509">
            <v>0</v>
          </cell>
          <cell r="H509">
            <v>2000000</v>
          </cell>
          <cell r="I509">
            <v>4</v>
          </cell>
        </row>
        <row r="510">
          <cell r="C510">
            <v>600945351</v>
          </cell>
          <cell r="D510" t="str">
            <v>平谷　茂政　　　　　</v>
          </cell>
          <cell r="E510">
            <v>288221130</v>
          </cell>
          <cell r="F510">
            <v>117000000</v>
          </cell>
          <cell r="G510">
            <v>0</v>
          </cell>
          <cell r="H510">
            <v>117000000</v>
          </cell>
          <cell r="I510">
            <v>3</v>
          </cell>
        </row>
        <row r="511">
          <cell r="C511">
            <v>600945579</v>
          </cell>
          <cell r="D511" t="str">
            <v>塩嶺鑿泉・有　　　　</v>
          </cell>
          <cell r="E511">
            <v>65785000</v>
          </cell>
          <cell r="F511">
            <v>7000000</v>
          </cell>
          <cell r="G511">
            <v>0</v>
          </cell>
          <cell r="H511">
            <v>7000000</v>
          </cell>
          <cell r="I511">
            <v>4</v>
          </cell>
        </row>
        <row r="512">
          <cell r="C512">
            <v>600949902</v>
          </cell>
          <cell r="D512" t="str">
            <v>田中　実　　　　　　</v>
          </cell>
          <cell r="E512">
            <v>11357205</v>
          </cell>
          <cell r="F512">
            <v>4000000</v>
          </cell>
          <cell r="G512">
            <v>0</v>
          </cell>
          <cell r="H512">
            <v>4000000</v>
          </cell>
          <cell r="I512">
            <v>3</v>
          </cell>
        </row>
        <row r="513">
          <cell r="C513">
            <v>600950765</v>
          </cell>
          <cell r="D513" t="str">
            <v>株・イワサ　　　　　</v>
          </cell>
          <cell r="E513">
            <v>163443000</v>
          </cell>
          <cell r="F513">
            <v>31000000</v>
          </cell>
          <cell r="G513">
            <v>0</v>
          </cell>
          <cell r="H513">
            <v>31000000</v>
          </cell>
          <cell r="I513">
            <v>3</v>
          </cell>
        </row>
        <row r="514">
          <cell r="C514">
            <v>603060662</v>
          </cell>
          <cell r="D514" t="str">
            <v>贄田　建照　　　　　</v>
          </cell>
          <cell r="E514">
            <v>9850802</v>
          </cell>
          <cell r="F514">
            <v>9000000</v>
          </cell>
          <cell r="G514">
            <v>0</v>
          </cell>
          <cell r="H514">
            <v>9000000</v>
          </cell>
          <cell r="I514">
            <v>4</v>
          </cell>
        </row>
        <row r="515">
          <cell r="C515">
            <v>603318352</v>
          </cell>
          <cell r="D515" t="str">
            <v>竹沢　聡　　　　　　</v>
          </cell>
          <cell r="E515">
            <v>0</v>
          </cell>
          <cell r="F515">
            <v>0</v>
          </cell>
          <cell r="G515">
            <v>0</v>
          </cell>
          <cell r="H515">
            <v>0</v>
          </cell>
          <cell r="I515" t="str">
            <v/>
          </cell>
        </row>
        <row r="516">
          <cell r="C516">
            <v>603356069</v>
          </cell>
          <cell r="D516" t="str">
            <v>高橋　裕之　　　　　</v>
          </cell>
          <cell r="E516">
            <v>1878565</v>
          </cell>
          <cell r="F516">
            <v>1000000</v>
          </cell>
          <cell r="G516">
            <v>0</v>
          </cell>
          <cell r="H516">
            <v>1000000</v>
          </cell>
          <cell r="I516">
            <v>4</v>
          </cell>
        </row>
        <row r="517">
          <cell r="C517">
            <v>600961475</v>
          </cell>
          <cell r="D517" t="str">
            <v>株・三共ブロック　　</v>
          </cell>
          <cell r="E517">
            <v>43172697</v>
          </cell>
          <cell r="F517">
            <v>23784799</v>
          </cell>
          <cell r="G517">
            <v>7061798</v>
          </cell>
          <cell r="H517">
            <v>30846597</v>
          </cell>
          <cell r="I517">
            <v>5</v>
          </cell>
        </row>
        <row r="518">
          <cell r="C518">
            <v>602719326</v>
          </cell>
          <cell r="D518" t="str">
            <v>上條　哲雄　　　　　</v>
          </cell>
          <cell r="E518">
            <v>4102224</v>
          </cell>
          <cell r="F518">
            <v>3000000</v>
          </cell>
          <cell r="G518">
            <v>0</v>
          </cell>
          <cell r="H518">
            <v>3000000</v>
          </cell>
          <cell r="I518">
            <v>3</v>
          </cell>
        </row>
        <row r="519">
          <cell r="C519">
            <v>600977808</v>
          </cell>
          <cell r="D519" t="str">
            <v>征矢野木材工業・株　</v>
          </cell>
          <cell r="E519">
            <v>77216521</v>
          </cell>
          <cell r="F519">
            <v>43464261</v>
          </cell>
          <cell r="G519">
            <v>12020260</v>
          </cell>
          <cell r="H519">
            <v>55484521</v>
          </cell>
          <cell r="I519">
            <v>5</v>
          </cell>
        </row>
        <row r="520">
          <cell r="C520">
            <v>600978241</v>
          </cell>
          <cell r="D520" t="str">
            <v>山一建材・有　　　　</v>
          </cell>
          <cell r="E520">
            <v>87483944</v>
          </cell>
          <cell r="F520">
            <v>4000000</v>
          </cell>
          <cell r="G520">
            <v>0</v>
          </cell>
          <cell r="H520">
            <v>4000000</v>
          </cell>
          <cell r="I520">
            <v>3</v>
          </cell>
        </row>
        <row r="521">
          <cell r="C521">
            <v>600978458</v>
          </cell>
          <cell r="D521" t="str">
            <v>株・中西屋酒店　　　</v>
          </cell>
          <cell r="E521">
            <v>91671813</v>
          </cell>
          <cell r="F521">
            <v>21000000</v>
          </cell>
          <cell r="G521">
            <v>0</v>
          </cell>
          <cell r="H521">
            <v>21000000</v>
          </cell>
          <cell r="I521">
            <v>3</v>
          </cell>
        </row>
        <row r="522">
          <cell r="C522">
            <v>600978763</v>
          </cell>
          <cell r="D522" t="str">
            <v>有・駒の湯　　　　　</v>
          </cell>
          <cell r="E522">
            <v>1768000</v>
          </cell>
          <cell r="F522">
            <v>56000000</v>
          </cell>
          <cell r="G522">
            <v>0</v>
          </cell>
          <cell r="H522">
            <v>56000000</v>
          </cell>
          <cell r="I522">
            <v>4</v>
          </cell>
        </row>
        <row r="523">
          <cell r="C523">
            <v>600979271</v>
          </cell>
          <cell r="D523" t="str">
            <v>有・三河家　　　　　</v>
          </cell>
          <cell r="E523">
            <v>247587000</v>
          </cell>
          <cell r="F523">
            <v>4000000</v>
          </cell>
          <cell r="G523">
            <v>0</v>
          </cell>
          <cell r="H523">
            <v>4000000</v>
          </cell>
          <cell r="I523">
            <v>3</v>
          </cell>
        </row>
        <row r="524">
          <cell r="C524">
            <v>600980383</v>
          </cell>
          <cell r="D524" t="str">
            <v>柏原　諭　　　　　　</v>
          </cell>
          <cell r="E524">
            <v>8248980</v>
          </cell>
          <cell r="F524">
            <v>8000000</v>
          </cell>
          <cell r="G524">
            <v>0</v>
          </cell>
          <cell r="H524">
            <v>8000000</v>
          </cell>
          <cell r="I524">
            <v>4</v>
          </cell>
        </row>
        <row r="525">
          <cell r="C525">
            <v>600981184</v>
          </cell>
          <cell r="D525" t="str">
            <v>池井　宏　　　　　　</v>
          </cell>
          <cell r="E525">
            <v>25045713</v>
          </cell>
          <cell r="F525">
            <v>5000000</v>
          </cell>
          <cell r="G525">
            <v>0</v>
          </cell>
          <cell r="H525">
            <v>5000000</v>
          </cell>
          <cell r="I525">
            <v>3</v>
          </cell>
        </row>
        <row r="526">
          <cell r="C526">
            <v>600984543</v>
          </cell>
          <cell r="D526" t="str">
            <v>岡本　和雄　　　　　</v>
          </cell>
          <cell r="E526">
            <v>4745780</v>
          </cell>
          <cell r="F526">
            <v>4000000</v>
          </cell>
          <cell r="G526">
            <v>0</v>
          </cell>
          <cell r="H526">
            <v>4000000</v>
          </cell>
          <cell r="I526">
            <v>4</v>
          </cell>
        </row>
        <row r="527">
          <cell r="C527">
            <v>600985039</v>
          </cell>
          <cell r="D527" t="str">
            <v>株・岩屋本店　　　　</v>
          </cell>
          <cell r="E527">
            <v>298402000</v>
          </cell>
          <cell r="F527">
            <v>40000000</v>
          </cell>
          <cell r="G527">
            <v>0</v>
          </cell>
          <cell r="H527">
            <v>40000000</v>
          </cell>
          <cell r="I527">
            <v>3</v>
          </cell>
        </row>
        <row r="528">
          <cell r="C528">
            <v>600985279</v>
          </cell>
          <cell r="D528" t="str">
            <v>有・からさわ　　　　</v>
          </cell>
          <cell r="E528">
            <v>11410000</v>
          </cell>
          <cell r="F528">
            <v>3000000</v>
          </cell>
          <cell r="G528">
            <v>0</v>
          </cell>
          <cell r="H528">
            <v>3000000</v>
          </cell>
          <cell r="I528">
            <v>3</v>
          </cell>
        </row>
        <row r="529">
          <cell r="C529">
            <v>601890637</v>
          </cell>
          <cell r="D529" t="str">
            <v>有・しもじよう　　　</v>
          </cell>
          <cell r="E529">
            <v>23327464</v>
          </cell>
          <cell r="F529">
            <v>7000000</v>
          </cell>
          <cell r="G529">
            <v>0</v>
          </cell>
          <cell r="H529">
            <v>7000000</v>
          </cell>
          <cell r="I529">
            <v>3</v>
          </cell>
        </row>
        <row r="530">
          <cell r="C530">
            <v>602749900</v>
          </cell>
          <cell r="D530" t="str">
            <v>有・ペンションどんぐ</v>
          </cell>
          <cell r="E530">
            <v>95719000</v>
          </cell>
          <cell r="F530">
            <v>17000000</v>
          </cell>
          <cell r="G530">
            <v>0</v>
          </cell>
          <cell r="H530">
            <v>17000000</v>
          </cell>
          <cell r="I530">
            <v>3</v>
          </cell>
        </row>
        <row r="531">
          <cell r="C531">
            <v>602805510</v>
          </cell>
          <cell r="D531" t="str">
            <v>開田高原開発・株　　</v>
          </cell>
          <cell r="E531">
            <v>1653722408</v>
          </cell>
          <cell r="F531">
            <v>904000000</v>
          </cell>
          <cell r="G531">
            <v>0</v>
          </cell>
          <cell r="H531">
            <v>904000000</v>
          </cell>
          <cell r="I531">
            <v>4</v>
          </cell>
        </row>
        <row r="532">
          <cell r="C532">
            <v>602858044</v>
          </cell>
          <cell r="D532" t="str">
            <v>下條　忠計　　　　　</v>
          </cell>
          <cell r="E532">
            <v>43783702</v>
          </cell>
          <cell r="F532">
            <v>17000000</v>
          </cell>
          <cell r="G532">
            <v>0</v>
          </cell>
          <cell r="H532">
            <v>17000000</v>
          </cell>
          <cell r="I532">
            <v>3</v>
          </cell>
        </row>
        <row r="533">
          <cell r="C533">
            <v>603029052</v>
          </cell>
          <cell r="D533" t="str">
            <v>有・田上幸男商店　　</v>
          </cell>
          <cell r="E533">
            <v>3561603</v>
          </cell>
          <cell r="F533">
            <v>3000000</v>
          </cell>
          <cell r="G533">
            <v>0</v>
          </cell>
          <cell r="H533">
            <v>3000000</v>
          </cell>
          <cell r="I533">
            <v>5</v>
          </cell>
        </row>
        <row r="534">
          <cell r="C534">
            <v>603124418</v>
          </cell>
          <cell r="D534" t="str">
            <v>棧温泉・株　　　　　</v>
          </cell>
          <cell r="E534">
            <v>15792000</v>
          </cell>
          <cell r="F534">
            <v>2000000</v>
          </cell>
          <cell r="G534">
            <v>0</v>
          </cell>
          <cell r="H534">
            <v>2000000</v>
          </cell>
          <cell r="I534">
            <v>3</v>
          </cell>
        </row>
        <row r="535">
          <cell r="C535">
            <v>603408533</v>
          </cell>
          <cell r="D535" t="str">
            <v>有・ゆたか　　　　　</v>
          </cell>
          <cell r="E535">
            <v>10248374</v>
          </cell>
          <cell r="F535">
            <v>3000000</v>
          </cell>
          <cell r="G535" t="str">
            <v/>
          </cell>
          <cell r="H535" t="e">
            <v>#VALUE!</v>
          </cell>
          <cell r="I535">
            <v>3</v>
          </cell>
        </row>
        <row r="536">
          <cell r="C536">
            <v>600989886</v>
          </cell>
          <cell r="D536" t="str">
            <v>中村　五男　　　　　</v>
          </cell>
          <cell r="E536">
            <v>11086105</v>
          </cell>
          <cell r="F536">
            <v>11000000</v>
          </cell>
          <cell r="G536">
            <v>0</v>
          </cell>
          <cell r="H536">
            <v>11000000</v>
          </cell>
          <cell r="I536">
            <v>4</v>
          </cell>
        </row>
        <row r="537">
          <cell r="C537">
            <v>600996032</v>
          </cell>
          <cell r="D537" t="str">
            <v>木曽電業・株　　　　</v>
          </cell>
          <cell r="E537">
            <v>8943600</v>
          </cell>
          <cell r="F537">
            <v>3000000</v>
          </cell>
          <cell r="G537">
            <v>0</v>
          </cell>
          <cell r="H537">
            <v>3000000</v>
          </cell>
          <cell r="I537">
            <v>4</v>
          </cell>
        </row>
        <row r="538">
          <cell r="C538">
            <v>600997464</v>
          </cell>
          <cell r="D538" t="str">
            <v>株・テラシマ　　　　</v>
          </cell>
          <cell r="E538">
            <v>245490522</v>
          </cell>
          <cell r="F538">
            <v>120740561</v>
          </cell>
          <cell r="G538">
            <v>112307561</v>
          </cell>
          <cell r="H538">
            <v>233048122</v>
          </cell>
          <cell r="I538">
            <v>5</v>
          </cell>
        </row>
        <row r="539">
          <cell r="C539">
            <v>600998014</v>
          </cell>
          <cell r="D539" t="str">
            <v>南木曽木工企業組合　</v>
          </cell>
          <cell r="E539">
            <v>4216500</v>
          </cell>
          <cell r="F539">
            <v>1000000</v>
          </cell>
          <cell r="G539">
            <v>0</v>
          </cell>
          <cell r="H539">
            <v>1000000</v>
          </cell>
          <cell r="I539">
            <v>4</v>
          </cell>
        </row>
        <row r="540">
          <cell r="C540">
            <v>601000597</v>
          </cell>
          <cell r="D540" t="str">
            <v>青木　昭子　　　　　</v>
          </cell>
          <cell r="E540">
            <v>15293912</v>
          </cell>
          <cell r="F540">
            <v>3000000</v>
          </cell>
          <cell r="G540">
            <v>0</v>
          </cell>
          <cell r="H540">
            <v>3000000</v>
          </cell>
          <cell r="I540">
            <v>3</v>
          </cell>
        </row>
        <row r="541">
          <cell r="C541">
            <v>602339120</v>
          </cell>
          <cell r="D541" t="str">
            <v>本多　久司　　　　　</v>
          </cell>
          <cell r="E541">
            <v>23613087</v>
          </cell>
          <cell r="F541">
            <v>2000000</v>
          </cell>
          <cell r="G541">
            <v>0</v>
          </cell>
          <cell r="H541">
            <v>2000000</v>
          </cell>
          <cell r="I541">
            <v>3</v>
          </cell>
        </row>
        <row r="542">
          <cell r="C542">
            <v>601003912</v>
          </cell>
          <cell r="D542" t="str">
            <v>丸山　耕吾　　　　　</v>
          </cell>
          <cell r="E542">
            <v>5900000</v>
          </cell>
          <cell r="F542">
            <v>4000000</v>
          </cell>
          <cell r="G542">
            <v>0</v>
          </cell>
          <cell r="H542">
            <v>4000000</v>
          </cell>
          <cell r="I542">
            <v>4</v>
          </cell>
        </row>
        <row r="543">
          <cell r="C543">
            <v>601006826</v>
          </cell>
          <cell r="D543" t="str">
            <v>株・エルグリーン　　</v>
          </cell>
          <cell r="E543">
            <v>15691137</v>
          </cell>
          <cell r="F543">
            <v>4121569</v>
          </cell>
          <cell r="G543">
            <v>2845568</v>
          </cell>
          <cell r="H543">
            <v>6967137</v>
          </cell>
          <cell r="I543">
            <v>5</v>
          </cell>
        </row>
        <row r="544">
          <cell r="C544">
            <v>601009969</v>
          </cell>
          <cell r="D544" t="str">
            <v>佐原　洋子　　　　　</v>
          </cell>
          <cell r="E544">
            <v>1414928</v>
          </cell>
          <cell r="F544">
            <v>0</v>
          </cell>
          <cell r="G544">
            <v>0</v>
          </cell>
          <cell r="H544">
            <v>0</v>
          </cell>
          <cell r="I544">
            <v>4</v>
          </cell>
        </row>
        <row r="545">
          <cell r="C545">
            <v>601846922</v>
          </cell>
          <cell r="D545" t="str">
            <v>平林　喬　　　　　　</v>
          </cell>
          <cell r="E545">
            <v>9917986</v>
          </cell>
          <cell r="F545">
            <v>2000000</v>
          </cell>
          <cell r="G545">
            <v>0</v>
          </cell>
          <cell r="H545">
            <v>2000000</v>
          </cell>
          <cell r="I545">
            <v>4</v>
          </cell>
        </row>
        <row r="546">
          <cell r="C546">
            <v>601021649</v>
          </cell>
          <cell r="D546" t="str">
            <v>中沢　菊子　　　　　</v>
          </cell>
          <cell r="E546">
            <v>4205000</v>
          </cell>
          <cell r="F546">
            <v>1000000</v>
          </cell>
          <cell r="G546">
            <v>0</v>
          </cell>
          <cell r="H546">
            <v>1000000</v>
          </cell>
          <cell r="I546">
            <v>4</v>
          </cell>
        </row>
        <row r="547">
          <cell r="C547">
            <v>601022244</v>
          </cell>
          <cell r="D547" t="str">
            <v>黒田　勇栄　　　　　</v>
          </cell>
          <cell r="E547">
            <v>0</v>
          </cell>
          <cell r="F547">
            <v>0</v>
          </cell>
          <cell r="G547">
            <v>0</v>
          </cell>
          <cell r="H547">
            <v>0</v>
          </cell>
          <cell r="I547">
            <v>4</v>
          </cell>
        </row>
        <row r="548">
          <cell r="C548">
            <v>601023078</v>
          </cell>
          <cell r="D548" t="str">
            <v>アルプスサービス・株</v>
          </cell>
          <cell r="E548">
            <v>45841725</v>
          </cell>
          <cell r="F548">
            <v>0</v>
          </cell>
          <cell r="G548">
            <v>0</v>
          </cell>
          <cell r="H548">
            <v>0</v>
          </cell>
          <cell r="I548">
            <v>5</v>
          </cell>
        </row>
        <row r="549">
          <cell r="C549">
            <v>601032315</v>
          </cell>
          <cell r="D549" t="str">
            <v>有・丸幸宮沢商店　　</v>
          </cell>
          <cell r="E549">
            <v>1320000</v>
          </cell>
          <cell r="F549">
            <v>1000000</v>
          </cell>
          <cell r="G549">
            <v>0</v>
          </cell>
          <cell r="H549">
            <v>1000000</v>
          </cell>
          <cell r="I549">
            <v>3</v>
          </cell>
        </row>
        <row r="550">
          <cell r="C550">
            <v>602129271</v>
          </cell>
          <cell r="D550" t="str">
            <v>有・アートコレクショ</v>
          </cell>
          <cell r="E550">
            <v>0</v>
          </cell>
          <cell r="F550">
            <v>0</v>
          </cell>
          <cell r="G550">
            <v>0</v>
          </cell>
          <cell r="H550">
            <v>0</v>
          </cell>
          <cell r="I550">
            <v>4</v>
          </cell>
        </row>
        <row r="551">
          <cell r="C551">
            <v>602466795</v>
          </cell>
          <cell r="D551" t="str">
            <v>有・テクノカサイ　　</v>
          </cell>
          <cell r="E551">
            <v>26717000</v>
          </cell>
          <cell r="F551">
            <v>4000000</v>
          </cell>
          <cell r="G551">
            <v>0</v>
          </cell>
          <cell r="H551">
            <v>4000000</v>
          </cell>
          <cell r="I551">
            <v>4</v>
          </cell>
        </row>
        <row r="552">
          <cell r="C552">
            <v>601001898</v>
          </cell>
          <cell r="D552" t="str">
            <v>浅川　恵美子　　　　</v>
          </cell>
          <cell r="E552">
            <v>30167906</v>
          </cell>
          <cell r="F552">
            <v>12000000</v>
          </cell>
          <cell r="G552">
            <v>0</v>
          </cell>
          <cell r="H552">
            <v>12000000</v>
          </cell>
          <cell r="I552">
            <v>4</v>
          </cell>
        </row>
        <row r="553">
          <cell r="C553">
            <v>601041543</v>
          </cell>
          <cell r="D553" t="str">
            <v>青柳　健吾　　　　　</v>
          </cell>
          <cell r="E553">
            <v>0</v>
          </cell>
          <cell r="F553">
            <v>0</v>
          </cell>
          <cell r="G553">
            <v>0</v>
          </cell>
          <cell r="H553">
            <v>0</v>
          </cell>
          <cell r="I553" t="str">
            <v/>
          </cell>
        </row>
        <row r="554">
          <cell r="C554">
            <v>601044751</v>
          </cell>
          <cell r="D554" t="str">
            <v>大河内　益　　　　　</v>
          </cell>
          <cell r="E554">
            <v>25405328</v>
          </cell>
          <cell r="F554">
            <v>5000000</v>
          </cell>
          <cell r="G554">
            <v>0</v>
          </cell>
          <cell r="H554">
            <v>5000000</v>
          </cell>
          <cell r="I554">
            <v>4</v>
          </cell>
        </row>
        <row r="555">
          <cell r="C555">
            <v>601047850</v>
          </cell>
          <cell r="D555" t="str">
            <v>小澤　善行　　　　　</v>
          </cell>
          <cell r="E555">
            <v>3968319</v>
          </cell>
          <cell r="F555">
            <v>3000000</v>
          </cell>
          <cell r="G555">
            <v>0</v>
          </cell>
          <cell r="H555">
            <v>3000000</v>
          </cell>
          <cell r="I555">
            <v>4</v>
          </cell>
        </row>
        <row r="556">
          <cell r="C556">
            <v>601052328</v>
          </cell>
          <cell r="D556" t="str">
            <v>鹿島槍養殖漁業生産組</v>
          </cell>
          <cell r="E556">
            <v>40000000</v>
          </cell>
          <cell r="F556">
            <v>33000000</v>
          </cell>
          <cell r="G556">
            <v>0</v>
          </cell>
          <cell r="H556">
            <v>33000000</v>
          </cell>
          <cell r="I556">
            <v>4</v>
          </cell>
        </row>
        <row r="557">
          <cell r="C557">
            <v>601052459</v>
          </cell>
          <cell r="D557" t="str">
            <v>ワイスホルン・有　　</v>
          </cell>
          <cell r="E557">
            <v>41900000</v>
          </cell>
          <cell r="F557">
            <v>18000000</v>
          </cell>
          <cell r="G557">
            <v>0</v>
          </cell>
          <cell r="H557">
            <v>18000000</v>
          </cell>
          <cell r="I557">
            <v>3</v>
          </cell>
        </row>
        <row r="558">
          <cell r="C558">
            <v>601819827</v>
          </cell>
          <cell r="D558" t="str">
            <v>永山　加津夫　　　　</v>
          </cell>
          <cell r="E558">
            <v>961907</v>
          </cell>
          <cell r="F558">
            <v>0</v>
          </cell>
          <cell r="G558">
            <v>0</v>
          </cell>
          <cell r="H558">
            <v>0</v>
          </cell>
          <cell r="I558">
            <v>4</v>
          </cell>
        </row>
        <row r="559">
          <cell r="C559">
            <v>601060266</v>
          </cell>
          <cell r="D559" t="str">
            <v>有・今溝製作所　　　</v>
          </cell>
          <cell r="E559">
            <v>14317000</v>
          </cell>
          <cell r="F559">
            <v>1000000</v>
          </cell>
          <cell r="G559">
            <v>0</v>
          </cell>
          <cell r="H559">
            <v>1000000</v>
          </cell>
          <cell r="I559">
            <v>3</v>
          </cell>
        </row>
        <row r="560">
          <cell r="C560">
            <v>601061350</v>
          </cell>
          <cell r="D560" t="str">
            <v>有・信州観光物産　　</v>
          </cell>
          <cell r="E560">
            <v>18770000</v>
          </cell>
          <cell r="F560">
            <v>18000000</v>
          </cell>
          <cell r="G560">
            <v>0</v>
          </cell>
          <cell r="H560">
            <v>18000000</v>
          </cell>
          <cell r="I560">
            <v>4</v>
          </cell>
        </row>
        <row r="561">
          <cell r="C561">
            <v>601064535</v>
          </cell>
          <cell r="D561" t="str">
            <v>株・信州ミタチ　　　</v>
          </cell>
          <cell r="E561">
            <v>97863979</v>
          </cell>
          <cell r="F561">
            <v>52000000</v>
          </cell>
          <cell r="G561">
            <v>0</v>
          </cell>
          <cell r="H561">
            <v>52000000</v>
          </cell>
          <cell r="I561">
            <v>4</v>
          </cell>
        </row>
        <row r="562">
          <cell r="C562">
            <v>601064960</v>
          </cell>
          <cell r="D562" t="str">
            <v>有・水野精機　　　　</v>
          </cell>
          <cell r="E562">
            <v>18431000</v>
          </cell>
          <cell r="F562">
            <v>1000000</v>
          </cell>
          <cell r="G562">
            <v>0</v>
          </cell>
          <cell r="H562">
            <v>1000000</v>
          </cell>
          <cell r="I562">
            <v>4</v>
          </cell>
        </row>
        <row r="563">
          <cell r="C563">
            <v>601066420</v>
          </cell>
          <cell r="D563" t="str">
            <v>株・マルヤマ工業　　</v>
          </cell>
          <cell r="E563">
            <v>229563303</v>
          </cell>
          <cell r="F563">
            <v>55000000</v>
          </cell>
          <cell r="G563">
            <v>0</v>
          </cell>
          <cell r="H563">
            <v>55000000</v>
          </cell>
          <cell r="I563">
            <v>4</v>
          </cell>
        </row>
        <row r="564">
          <cell r="C564">
            <v>601066866</v>
          </cell>
          <cell r="D564" t="str">
            <v>有・タクラ電器　　　</v>
          </cell>
          <cell r="E564">
            <v>7130000</v>
          </cell>
          <cell r="F564">
            <v>1000000</v>
          </cell>
          <cell r="G564">
            <v>0</v>
          </cell>
          <cell r="H564">
            <v>1000000</v>
          </cell>
          <cell r="I564">
            <v>3</v>
          </cell>
        </row>
        <row r="565">
          <cell r="C565">
            <v>601974810</v>
          </cell>
          <cell r="D565" t="str">
            <v>広瀬　威　　　　　　</v>
          </cell>
          <cell r="E565">
            <v>4732009</v>
          </cell>
          <cell r="F565">
            <v>3000000</v>
          </cell>
          <cell r="G565">
            <v>0</v>
          </cell>
          <cell r="H565">
            <v>3000000</v>
          </cell>
          <cell r="I565">
            <v>4</v>
          </cell>
        </row>
        <row r="566">
          <cell r="C566">
            <v>601070935</v>
          </cell>
          <cell r="D566" t="str">
            <v>有・ヤマチキリストア</v>
          </cell>
          <cell r="E566">
            <v>32110000</v>
          </cell>
          <cell r="F566">
            <v>1000000</v>
          </cell>
          <cell r="G566">
            <v>0</v>
          </cell>
          <cell r="H566">
            <v>1000000</v>
          </cell>
          <cell r="I566">
            <v>3</v>
          </cell>
        </row>
        <row r="567">
          <cell r="C567">
            <v>601071030</v>
          </cell>
          <cell r="D567" t="str">
            <v>株・塩入洋服店　　　</v>
          </cell>
          <cell r="E567">
            <v>62752438</v>
          </cell>
          <cell r="F567">
            <v>14000000</v>
          </cell>
          <cell r="G567">
            <v>0</v>
          </cell>
          <cell r="H567">
            <v>14000000</v>
          </cell>
          <cell r="I567">
            <v>3</v>
          </cell>
        </row>
        <row r="568">
          <cell r="C568">
            <v>601071247</v>
          </cell>
          <cell r="D568" t="str">
            <v>株・ミヤハラ　　　　</v>
          </cell>
          <cell r="E568">
            <v>27006000</v>
          </cell>
          <cell r="F568">
            <v>7000000</v>
          </cell>
          <cell r="G568">
            <v>0</v>
          </cell>
          <cell r="H568">
            <v>7000000</v>
          </cell>
          <cell r="I568">
            <v>3</v>
          </cell>
        </row>
        <row r="569">
          <cell r="C569">
            <v>601071585</v>
          </cell>
          <cell r="D569" t="str">
            <v>株・大蔦組　　　　　</v>
          </cell>
          <cell r="E569">
            <v>166872297</v>
          </cell>
          <cell r="F569">
            <v>65000000</v>
          </cell>
          <cell r="G569">
            <v>0</v>
          </cell>
          <cell r="H569">
            <v>65000000</v>
          </cell>
          <cell r="I569">
            <v>3</v>
          </cell>
        </row>
        <row r="570">
          <cell r="C570">
            <v>601072842</v>
          </cell>
          <cell r="D570" t="str">
            <v>幡野　茂道　　　　　</v>
          </cell>
          <cell r="E570">
            <v>39660470</v>
          </cell>
          <cell r="F570">
            <v>15213985</v>
          </cell>
          <cell r="G570">
            <v>15213985</v>
          </cell>
          <cell r="H570">
            <v>30427970</v>
          </cell>
          <cell r="I570">
            <v>5</v>
          </cell>
        </row>
        <row r="571">
          <cell r="C571">
            <v>601073350</v>
          </cell>
          <cell r="D571" t="str">
            <v>篠崎　幸平　　　　　</v>
          </cell>
          <cell r="E571">
            <v>8422600</v>
          </cell>
          <cell r="F571">
            <v>6000000</v>
          </cell>
          <cell r="G571">
            <v>0</v>
          </cell>
          <cell r="H571">
            <v>6000000</v>
          </cell>
          <cell r="I571">
            <v>4</v>
          </cell>
        </row>
        <row r="572">
          <cell r="C572">
            <v>601074151</v>
          </cell>
          <cell r="D572" t="str">
            <v>宮脇　佑完　　　　　</v>
          </cell>
          <cell r="E572">
            <v>6497600</v>
          </cell>
          <cell r="F572">
            <v>1000000</v>
          </cell>
          <cell r="G572">
            <v>0</v>
          </cell>
          <cell r="H572">
            <v>1000000</v>
          </cell>
          <cell r="I572">
            <v>5</v>
          </cell>
        </row>
        <row r="573">
          <cell r="C573">
            <v>601075114</v>
          </cell>
          <cell r="D573" t="str">
            <v>長野物産・株　　　　</v>
          </cell>
          <cell r="E573">
            <v>28500000</v>
          </cell>
          <cell r="F573">
            <v>8000000</v>
          </cell>
          <cell r="G573">
            <v>0</v>
          </cell>
          <cell r="H573">
            <v>8000000</v>
          </cell>
          <cell r="I573">
            <v>5</v>
          </cell>
        </row>
        <row r="574">
          <cell r="C574">
            <v>601079298</v>
          </cell>
          <cell r="D574" t="str">
            <v>有・大谷商店　　　　</v>
          </cell>
          <cell r="E574">
            <v>13342104</v>
          </cell>
          <cell r="F574">
            <v>1000000</v>
          </cell>
          <cell r="G574">
            <v>0</v>
          </cell>
          <cell r="H574">
            <v>1000000</v>
          </cell>
          <cell r="I574">
            <v>3</v>
          </cell>
        </row>
        <row r="575">
          <cell r="C575">
            <v>601079570</v>
          </cell>
          <cell r="D575" t="str">
            <v>株・松延　　　　　　</v>
          </cell>
          <cell r="E575">
            <v>1401566500</v>
          </cell>
          <cell r="F575">
            <v>382000000</v>
          </cell>
          <cell r="G575">
            <v>0</v>
          </cell>
          <cell r="H575">
            <v>382000000</v>
          </cell>
          <cell r="I575">
            <v>3</v>
          </cell>
        </row>
        <row r="576">
          <cell r="C576">
            <v>601080779</v>
          </cell>
          <cell r="D576" t="str">
            <v>有・稲穂　　　　　　</v>
          </cell>
          <cell r="E576">
            <v>98252176</v>
          </cell>
          <cell r="F576">
            <v>40000000</v>
          </cell>
          <cell r="G576">
            <v>0</v>
          </cell>
          <cell r="H576">
            <v>40000000</v>
          </cell>
          <cell r="I576">
            <v>3</v>
          </cell>
        </row>
        <row r="577">
          <cell r="C577">
            <v>601083736</v>
          </cell>
          <cell r="D577" t="str">
            <v>有・蔦幸　　　　　　</v>
          </cell>
          <cell r="E577">
            <v>1789000</v>
          </cell>
          <cell r="F577">
            <v>1000000</v>
          </cell>
          <cell r="G577">
            <v>0</v>
          </cell>
          <cell r="H577">
            <v>1000000</v>
          </cell>
          <cell r="I577">
            <v>3</v>
          </cell>
        </row>
        <row r="578">
          <cell r="C578">
            <v>601084602</v>
          </cell>
          <cell r="D578" t="str">
            <v>有・美の店　　　　　</v>
          </cell>
          <cell r="E578">
            <v>12749000</v>
          </cell>
          <cell r="F578">
            <v>3000000</v>
          </cell>
          <cell r="G578">
            <v>0</v>
          </cell>
          <cell r="H578">
            <v>3000000</v>
          </cell>
          <cell r="I578">
            <v>3</v>
          </cell>
        </row>
        <row r="579">
          <cell r="C579">
            <v>601085936</v>
          </cell>
          <cell r="D579" t="str">
            <v>有・東栄興業　　　　</v>
          </cell>
          <cell r="E579">
            <v>0</v>
          </cell>
          <cell r="F579">
            <v>0</v>
          </cell>
          <cell r="G579">
            <v>0</v>
          </cell>
          <cell r="H579">
            <v>0</v>
          </cell>
          <cell r="I579" t="str">
            <v/>
          </cell>
        </row>
        <row r="580">
          <cell r="C580">
            <v>601086128</v>
          </cell>
          <cell r="D580" t="str">
            <v>有・大町山の民芸社　</v>
          </cell>
          <cell r="E580">
            <v>19790000</v>
          </cell>
          <cell r="F580">
            <v>5000000</v>
          </cell>
          <cell r="G580">
            <v>0</v>
          </cell>
          <cell r="H580">
            <v>5000000</v>
          </cell>
          <cell r="I580">
            <v>4</v>
          </cell>
        </row>
        <row r="581">
          <cell r="C581">
            <v>601086597</v>
          </cell>
          <cell r="D581" t="str">
            <v>株・かねなか　　　　</v>
          </cell>
          <cell r="E581">
            <v>856448202</v>
          </cell>
          <cell r="F581">
            <v>369000000</v>
          </cell>
          <cell r="G581">
            <v>0</v>
          </cell>
          <cell r="H581">
            <v>369000000</v>
          </cell>
          <cell r="I581">
            <v>3</v>
          </cell>
        </row>
        <row r="582">
          <cell r="C582">
            <v>601086748</v>
          </cell>
          <cell r="D582" t="str">
            <v>西沢　一広　　　　　</v>
          </cell>
          <cell r="E582">
            <v>5043475</v>
          </cell>
          <cell r="F582">
            <v>2000000</v>
          </cell>
          <cell r="G582">
            <v>0</v>
          </cell>
          <cell r="H582">
            <v>2000000</v>
          </cell>
          <cell r="I582">
            <v>4</v>
          </cell>
        </row>
        <row r="583">
          <cell r="C583">
            <v>601912658</v>
          </cell>
          <cell r="D583" t="str">
            <v>平井鉄工・株　　　　</v>
          </cell>
          <cell r="E583">
            <v>23084994</v>
          </cell>
          <cell r="F583">
            <v>23000000</v>
          </cell>
          <cell r="G583">
            <v>0</v>
          </cell>
          <cell r="H583">
            <v>23000000</v>
          </cell>
          <cell r="I583">
            <v>5</v>
          </cell>
        </row>
        <row r="584">
          <cell r="C584">
            <v>601077794</v>
          </cell>
          <cell r="D584" t="str">
            <v>丸山　玉美　　　　　</v>
          </cell>
          <cell r="E584">
            <v>220000000</v>
          </cell>
          <cell r="F584">
            <v>58000000</v>
          </cell>
          <cell r="G584">
            <v>0</v>
          </cell>
          <cell r="H584">
            <v>58000000</v>
          </cell>
          <cell r="I584">
            <v>3</v>
          </cell>
        </row>
        <row r="585">
          <cell r="C585">
            <v>601085523</v>
          </cell>
          <cell r="D585" t="str">
            <v>中沢　弘　　　　　　</v>
          </cell>
          <cell r="E585">
            <v>30468000</v>
          </cell>
          <cell r="F585">
            <v>3000000</v>
          </cell>
          <cell r="G585">
            <v>0</v>
          </cell>
          <cell r="H585">
            <v>3000000</v>
          </cell>
          <cell r="I585">
            <v>3</v>
          </cell>
        </row>
        <row r="586">
          <cell r="C586">
            <v>601086520</v>
          </cell>
          <cell r="D586" t="str">
            <v>有・藤森酒店　　　　</v>
          </cell>
          <cell r="E586">
            <v>175203000</v>
          </cell>
          <cell r="F586">
            <v>36000000</v>
          </cell>
          <cell r="G586">
            <v>0</v>
          </cell>
          <cell r="H586">
            <v>36000000</v>
          </cell>
          <cell r="I586">
            <v>3</v>
          </cell>
        </row>
        <row r="587">
          <cell r="C587">
            <v>601817736</v>
          </cell>
          <cell r="D587" t="str">
            <v>有・白馬五龍館　　　</v>
          </cell>
          <cell r="E587">
            <v>441125000</v>
          </cell>
          <cell r="F587">
            <v>191000000</v>
          </cell>
          <cell r="G587">
            <v>0</v>
          </cell>
          <cell r="H587">
            <v>191000000</v>
          </cell>
          <cell r="I587">
            <v>3</v>
          </cell>
        </row>
        <row r="588">
          <cell r="C588">
            <v>602033272</v>
          </cell>
          <cell r="D588" t="str">
            <v>株・鷲澤商店　　　　</v>
          </cell>
          <cell r="E588">
            <v>25051262</v>
          </cell>
          <cell r="F588">
            <v>2000000</v>
          </cell>
          <cell r="G588">
            <v>0</v>
          </cell>
          <cell r="H588">
            <v>2000000</v>
          </cell>
          <cell r="I588">
            <v>3</v>
          </cell>
        </row>
        <row r="589">
          <cell r="C589">
            <v>602050533</v>
          </cell>
          <cell r="D589" t="str">
            <v>有・待夢里　　　　　</v>
          </cell>
          <cell r="E589">
            <v>94743000</v>
          </cell>
          <cell r="F589">
            <v>17000000</v>
          </cell>
          <cell r="G589">
            <v>0</v>
          </cell>
          <cell r="H589">
            <v>17000000</v>
          </cell>
          <cell r="I589">
            <v>3</v>
          </cell>
        </row>
        <row r="590">
          <cell r="C590">
            <v>602711331</v>
          </cell>
          <cell r="D590" t="str">
            <v>村山　和男　　　　　</v>
          </cell>
          <cell r="E590">
            <v>10669393</v>
          </cell>
          <cell r="F590">
            <v>5000000</v>
          </cell>
          <cell r="G590">
            <v>0</v>
          </cell>
          <cell r="H590">
            <v>5000000</v>
          </cell>
          <cell r="I590">
            <v>4</v>
          </cell>
        </row>
        <row r="591">
          <cell r="C591">
            <v>602791753</v>
          </cell>
          <cell r="D591" t="str">
            <v>中村　孝光　　　　　</v>
          </cell>
          <cell r="E591">
            <v>400000000</v>
          </cell>
          <cell r="F591">
            <v>195000000</v>
          </cell>
          <cell r="G591">
            <v>0</v>
          </cell>
          <cell r="H591">
            <v>195000000</v>
          </cell>
          <cell r="I591">
            <v>3</v>
          </cell>
        </row>
        <row r="592">
          <cell r="C592">
            <v>601091803</v>
          </cell>
          <cell r="D592" t="str">
            <v>丸興工業・株　　　　</v>
          </cell>
          <cell r="E592">
            <v>1056773311</v>
          </cell>
          <cell r="F592">
            <v>233000000</v>
          </cell>
          <cell r="G592">
            <v>0</v>
          </cell>
          <cell r="H592">
            <v>233000000</v>
          </cell>
          <cell r="I592">
            <v>3</v>
          </cell>
        </row>
        <row r="593">
          <cell r="C593">
            <v>601092160</v>
          </cell>
          <cell r="D593" t="str">
            <v>岡谷生糸・株　　　　</v>
          </cell>
          <cell r="E593">
            <v>156908000</v>
          </cell>
          <cell r="F593">
            <v>51000000</v>
          </cell>
          <cell r="G593">
            <v>0</v>
          </cell>
          <cell r="H593">
            <v>51000000</v>
          </cell>
          <cell r="I593">
            <v>4</v>
          </cell>
        </row>
        <row r="594">
          <cell r="C594">
            <v>601092997</v>
          </cell>
          <cell r="D594" t="str">
            <v>株・ふぢや呉服店　　</v>
          </cell>
          <cell r="E594">
            <v>74223000</v>
          </cell>
          <cell r="F594">
            <v>9000000</v>
          </cell>
          <cell r="G594">
            <v>0</v>
          </cell>
          <cell r="H594">
            <v>9000000</v>
          </cell>
          <cell r="I594">
            <v>4</v>
          </cell>
        </row>
        <row r="595">
          <cell r="C595">
            <v>601094893</v>
          </cell>
          <cell r="D595" t="str">
            <v>株・モリヤ　　　　　</v>
          </cell>
          <cell r="E595">
            <v>127817519</v>
          </cell>
          <cell r="F595">
            <v>49563356</v>
          </cell>
          <cell r="G595">
            <v>28524063</v>
          </cell>
          <cell r="H595">
            <v>78087419</v>
          </cell>
          <cell r="I595">
            <v>5</v>
          </cell>
        </row>
        <row r="596">
          <cell r="C596">
            <v>601095041</v>
          </cell>
          <cell r="D596" t="str">
            <v>株・松沢基工　　　　</v>
          </cell>
          <cell r="E596">
            <v>48567000</v>
          </cell>
          <cell r="F596">
            <v>6000000</v>
          </cell>
          <cell r="G596">
            <v>0</v>
          </cell>
          <cell r="H596">
            <v>6000000</v>
          </cell>
          <cell r="I596">
            <v>5</v>
          </cell>
        </row>
        <row r="597">
          <cell r="C597">
            <v>601095096</v>
          </cell>
          <cell r="D597" t="str">
            <v>株・スワベイ　　　　</v>
          </cell>
          <cell r="E597">
            <v>1174320000</v>
          </cell>
          <cell r="F597">
            <v>1022000000</v>
          </cell>
          <cell r="G597">
            <v>0</v>
          </cell>
          <cell r="H597">
            <v>1022000000</v>
          </cell>
          <cell r="I597">
            <v>4</v>
          </cell>
        </row>
        <row r="598">
          <cell r="C598">
            <v>601096428</v>
          </cell>
          <cell r="D598" t="str">
            <v>有・大成　　　　　　</v>
          </cell>
          <cell r="E598">
            <v>17650000</v>
          </cell>
          <cell r="F598">
            <v>17000000</v>
          </cell>
          <cell r="G598">
            <v>0</v>
          </cell>
          <cell r="H598">
            <v>17000000</v>
          </cell>
          <cell r="I598">
            <v>4</v>
          </cell>
        </row>
        <row r="599">
          <cell r="C599">
            <v>601096473</v>
          </cell>
          <cell r="D599" t="str">
            <v>原　信哉　　　　　　</v>
          </cell>
          <cell r="E599">
            <v>21659207</v>
          </cell>
          <cell r="F599">
            <v>1000000</v>
          </cell>
          <cell r="G599">
            <v>0</v>
          </cell>
          <cell r="H599">
            <v>1000000</v>
          </cell>
          <cell r="I599">
            <v>4</v>
          </cell>
        </row>
        <row r="600">
          <cell r="C600">
            <v>601096635</v>
          </cell>
          <cell r="D600" t="str">
            <v>横内　宏　　　　　　</v>
          </cell>
          <cell r="E600">
            <v>17094485</v>
          </cell>
          <cell r="F600">
            <v>1000000</v>
          </cell>
          <cell r="G600">
            <v>0</v>
          </cell>
          <cell r="H600">
            <v>1000000</v>
          </cell>
          <cell r="I600">
            <v>4</v>
          </cell>
        </row>
        <row r="601">
          <cell r="C601">
            <v>601096819</v>
          </cell>
          <cell r="D601" t="str">
            <v>守矢　文雄　　　　　</v>
          </cell>
          <cell r="E601">
            <v>27418399</v>
          </cell>
          <cell r="F601">
            <v>21000000</v>
          </cell>
          <cell r="G601">
            <v>0</v>
          </cell>
          <cell r="H601">
            <v>21000000</v>
          </cell>
          <cell r="I601">
            <v>4</v>
          </cell>
        </row>
        <row r="602">
          <cell r="C602">
            <v>601098075</v>
          </cell>
          <cell r="D602" t="str">
            <v>丸栄商事・株　　　　</v>
          </cell>
          <cell r="E602">
            <v>10000000</v>
          </cell>
          <cell r="F602">
            <v>2000000</v>
          </cell>
          <cell r="G602">
            <v>0</v>
          </cell>
          <cell r="H602">
            <v>2000000</v>
          </cell>
          <cell r="I602">
            <v>3</v>
          </cell>
        </row>
        <row r="603">
          <cell r="C603">
            <v>601101911</v>
          </cell>
          <cell r="D603" t="str">
            <v>小野　仁　　　　　　</v>
          </cell>
          <cell r="E603">
            <v>4150000</v>
          </cell>
          <cell r="F603">
            <v>3000000</v>
          </cell>
          <cell r="G603">
            <v>0</v>
          </cell>
          <cell r="H603">
            <v>3000000</v>
          </cell>
          <cell r="I603">
            <v>4</v>
          </cell>
        </row>
        <row r="604">
          <cell r="C604">
            <v>601104185</v>
          </cell>
          <cell r="D604" t="str">
            <v>株・ホテル岡谷　　　</v>
          </cell>
          <cell r="E604">
            <v>343208000</v>
          </cell>
          <cell r="F604">
            <v>237000000</v>
          </cell>
          <cell r="G604">
            <v>0</v>
          </cell>
          <cell r="H604">
            <v>237000000</v>
          </cell>
          <cell r="I604">
            <v>4</v>
          </cell>
        </row>
        <row r="605">
          <cell r="C605">
            <v>601105279</v>
          </cell>
          <cell r="D605" t="str">
            <v>有・カクニ　　　　　</v>
          </cell>
          <cell r="E605">
            <v>3213024</v>
          </cell>
          <cell r="F605">
            <v>2000000</v>
          </cell>
          <cell r="G605">
            <v>0</v>
          </cell>
          <cell r="H605">
            <v>2000000</v>
          </cell>
          <cell r="I605">
            <v>5</v>
          </cell>
        </row>
        <row r="606">
          <cell r="C606">
            <v>602523760</v>
          </cell>
          <cell r="D606" t="str">
            <v>株・パシフィックテク</v>
          </cell>
          <cell r="E606">
            <v>26440000</v>
          </cell>
          <cell r="F606">
            <v>13000000</v>
          </cell>
          <cell r="G606">
            <v>0</v>
          </cell>
          <cell r="H606">
            <v>13000000</v>
          </cell>
          <cell r="I606">
            <v>4</v>
          </cell>
        </row>
        <row r="607">
          <cell r="C607">
            <v>602528601</v>
          </cell>
          <cell r="D607" t="str">
            <v>諏訪テクノロジー・株</v>
          </cell>
          <cell r="E607">
            <v>325666000</v>
          </cell>
          <cell r="F607">
            <v>117000000</v>
          </cell>
          <cell r="G607">
            <v>0</v>
          </cell>
          <cell r="H607">
            <v>117000000</v>
          </cell>
          <cell r="I607">
            <v>4</v>
          </cell>
        </row>
        <row r="608">
          <cell r="C608">
            <v>602947599</v>
          </cell>
          <cell r="D608" t="str">
            <v>大井　秀一　　　　　</v>
          </cell>
          <cell r="E608">
            <v>53449000</v>
          </cell>
          <cell r="F608">
            <v>16000000</v>
          </cell>
          <cell r="G608">
            <v>0</v>
          </cell>
          <cell r="H608">
            <v>16000000</v>
          </cell>
          <cell r="I608">
            <v>4</v>
          </cell>
        </row>
        <row r="609">
          <cell r="C609">
            <v>603041449</v>
          </cell>
          <cell r="D609" t="str">
            <v>横内　美保子　　　　</v>
          </cell>
          <cell r="E609">
            <v>0</v>
          </cell>
          <cell r="F609">
            <v>0</v>
          </cell>
          <cell r="G609">
            <v>0</v>
          </cell>
          <cell r="H609">
            <v>0</v>
          </cell>
          <cell r="I609" t="str">
            <v/>
          </cell>
        </row>
        <row r="610">
          <cell r="C610">
            <v>603052615</v>
          </cell>
          <cell r="D610" t="str">
            <v>株・ヤマコフーズ　　</v>
          </cell>
          <cell r="E610">
            <v>20545276</v>
          </cell>
          <cell r="F610">
            <v>5000000</v>
          </cell>
          <cell r="G610">
            <v>0</v>
          </cell>
          <cell r="H610">
            <v>5000000</v>
          </cell>
          <cell r="I610">
            <v>3</v>
          </cell>
        </row>
        <row r="611">
          <cell r="C611">
            <v>601121608</v>
          </cell>
          <cell r="D611" t="str">
            <v>アイ．テイー．エス株</v>
          </cell>
          <cell r="E611">
            <v>19387874</v>
          </cell>
          <cell r="F611">
            <v>0</v>
          </cell>
          <cell r="G611">
            <v>0</v>
          </cell>
          <cell r="H611">
            <v>0</v>
          </cell>
          <cell r="I611">
            <v>4</v>
          </cell>
        </row>
        <row r="612">
          <cell r="C612">
            <v>601121773</v>
          </cell>
          <cell r="D612" t="str">
            <v>本多染工・株　　　　</v>
          </cell>
          <cell r="E612">
            <v>636680909</v>
          </cell>
          <cell r="F612">
            <v>119000000</v>
          </cell>
          <cell r="G612">
            <v>0</v>
          </cell>
          <cell r="H612">
            <v>119000000</v>
          </cell>
          <cell r="I612">
            <v>3</v>
          </cell>
        </row>
        <row r="613">
          <cell r="C613">
            <v>601122172</v>
          </cell>
          <cell r="D613" t="str">
            <v>野崎　毅　　　　　　</v>
          </cell>
          <cell r="E613">
            <v>1355000</v>
          </cell>
          <cell r="F613">
            <v>1000000</v>
          </cell>
          <cell r="G613">
            <v>0</v>
          </cell>
          <cell r="H613">
            <v>1000000</v>
          </cell>
          <cell r="I613">
            <v>3</v>
          </cell>
        </row>
        <row r="614">
          <cell r="C614">
            <v>601124589</v>
          </cell>
          <cell r="D614" t="str">
            <v>清水　一成　　　　　</v>
          </cell>
          <cell r="E614">
            <v>0</v>
          </cell>
          <cell r="F614">
            <v>0</v>
          </cell>
          <cell r="G614">
            <v>0</v>
          </cell>
          <cell r="H614">
            <v>0</v>
          </cell>
          <cell r="I614" t="str">
            <v/>
          </cell>
        </row>
        <row r="615">
          <cell r="C615">
            <v>601127437</v>
          </cell>
          <cell r="D615" t="str">
            <v>株・郷田鈑金　　　　</v>
          </cell>
          <cell r="E615">
            <v>52124103</v>
          </cell>
          <cell r="F615">
            <v>7000000</v>
          </cell>
          <cell r="G615">
            <v>0</v>
          </cell>
          <cell r="H615">
            <v>7000000</v>
          </cell>
          <cell r="I615">
            <v>3</v>
          </cell>
        </row>
        <row r="616">
          <cell r="C616">
            <v>601129182</v>
          </cell>
          <cell r="D616" t="str">
            <v>高辺　喜八　　　　　</v>
          </cell>
          <cell r="E616">
            <v>28989876</v>
          </cell>
          <cell r="F616">
            <v>10000000</v>
          </cell>
          <cell r="G616">
            <v>0</v>
          </cell>
          <cell r="H616">
            <v>10000000</v>
          </cell>
          <cell r="I616">
            <v>3</v>
          </cell>
        </row>
        <row r="617">
          <cell r="C617">
            <v>601131028</v>
          </cell>
          <cell r="D617" t="str">
            <v>大島　和久　　　　　</v>
          </cell>
          <cell r="E617">
            <v>25437682</v>
          </cell>
          <cell r="F617">
            <v>19000000</v>
          </cell>
          <cell r="G617">
            <v>0</v>
          </cell>
          <cell r="H617">
            <v>19000000</v>
          </cell>
          <cell r="I617">
            <v>4</v>
          </cell>
        </row>
        <row r="618">
          <cell r="C618">
            <v>601132276</v>
          </cell>
          <cell r="D618" t="str">
            <v>有・中央精工　　　　</v>
          </cell>
          <cell r="E618">
            <v>1178433</v>
          </cell>
          <cell r="F618">
            <v>1000000</v>
          </cell>
          <cell r="G618">
            <v>0</v>
          </cell>
          <cell r="H618">
            <v>1000000</v>
          </cell>
          <cell r="I618">
            <v>4</v>
          </cell>
        </row>
        <row r="619">
          <cell r="C619">
            <v>601135582</v>
          </cell>
          <cell r="D619" t="str">
            <v>木下　敏彦　　　　　</v>
          </cell>
          <cell r="E619">
            <v>29449736</v>
          </cell>
          <cell r="F619">
            <v>11000000</v>
          </cell>
          <cell r="G619" t="str">
            <v/>
          </cell>
          <cell r="H619" t="e">
            <v>#VALUE!</v>
          </cell>
          <cell r="I619">
            <v>3</v>
          </cell>
        </row>
        <row r="620">
          <cell r="C620">
            <v>601137162</v>
          </cell>
          <cell r="D620" t="str">
            <v>小沢建設・株　　　　</v>
          </cell>
          <cell r="E620">
            <v>21160000</v>
          </cell>
          <cell r="F620">
            <v>21000000</v>
          </cell>
          <cell r="G620">
            <v>0</v>
          </cell>
          <cell r="H620">
            <v>21000000</v>
          </cell>
          <cell r="I620">
            <v>5</v>
          </cell>
        </row>
        <row r="621">
          <cell r="C621">
            <v>601137260</v>
          </cell>
          <cell r="D621" t="str">
            <v>株・諏訪機械製作所　</v>
          </cell>
          <cell r="E621">
            <v>832455396</v>
          </cell>
          <cell r="F621">
            <v>254000000</v>
          </cell>
          <cell r="G621" t="str">
            <v/>
          </cell>
          <cell r="H621" t="e">
            <v>#VALUE!</v>
          </cell>
          <cell r="I621">
            <v>3</v>
          </cell>
        </row>
        <row r="622">
          <cell r="C622">
            <v>602032948</v>
          </cell>
          <cell r="D622" t="str">
            <v>矢島　斎　　　　　　</v>
          </cell>
          <cell r="E622">
            <v>0</v>
          </cell>
          <cell r="F622">
            <v>0</v>
          </cell>
          <cell r="G622">
            <v>0</v>
          </cell>
          <cell r="H622">
            <v>0</v>
          </cell>
          <cell r="I622">
            <v>4</v>
          </cell>
        </row>
        <row r="623">
          <cell r="C623">
            <v>602038646</v>
          </cell>
          <cell r="D623" t="str">
            <v>有・たく味　　　　　</v>
          </cell>
          <cell r="E623">
            <v>49155000</v>
          </cell>
          <cell r="F623">
            <v>7000000</v>
          </cell>
          <cell r="G623">
            <v>0</v>
          </cell>
          <cell r="H623">
            <v>7000000</v>
          </cell>
          <cell r="I623">
            <v>3</v>
          </cell>
        </row>
        <row r="624">
          <cell r="C624">
            <v>603464488</v>
          </cell>
          <cell r="D624" t="str">
            <v>栄信建設・有　　　　</v>
          </cell>
          <cell r="E624">
            <v>10025307</v>
          </cell>
          <cell r="F624">
            <v>3000000</v>
          </cell>
          <cell r="G624">
            <v>0</v>
          </cell>
          <cell r="H624">
            <v>3000000</v>
          </cell>
          <cell r="I624">
            <v>5</v>
          </cell>
        </row>
        <row r="625">
          <cell r="C625">
            <v>601140918</v>
          </cell>
          <cell r="D625" t="str">
            <v>有・小池精工　　　　</v>
          </cell>
          <cell r="E625">
            <v>143101984</v>
          </cell>
          <cell r="F625">
            <v>26000000</v>
          </cell>
          <cell r="G625">
            <v>0</v>
          </cell>
          <cell r="H625">
            <v>26000000</v>
          </cell>
          <cell r="I625">
            <v>3</v>
          </cell>
        </row>
        <row r="626">
          <cell r="C626">
            <v>601140941</v>
          </cell>
          <cell r="D626" t="str">
            <v>岡谷スタンダード石油</v>
          </cell>
          <cell r="E626">
            <v>156683634</v>
          </cell>
          <cell r="F626">
            <v>8000000</v>
          </cell>
          <cell r="G626" t="str">
            <v/>
          </cell>
          <cell r="H626" t="e">
            <v>#VALUE!</v>
          </cell>
          <cell r="I626">
            <v>3</v>
          </cell>
        </row>
        <row r="627">
          <cell r="C627">
            <v>601141068</v>
          </cell>
          <cell r="D627" t="str">
            <v>有・山下洋行　　　　</v>
          </cell>
          <cell r="E627">
            <v>2640000</v>
          </cell>
          <cell r="F627">
            <v>1000000</v>
          </cell>
          <cell r="G627">
            <v>0</v>
          </cell>
          <cell r="H627">
            <v>1000000</v>
          </cell>
          <cell r="I627">
            <v>3</v>
          </cell>
        </row>
        <row r="628">
          <cell r="C628">
            <v>601142129</v>
          </cell>
          <cell r="D628" t="str">
            <v>有・伸和工作　　　　</v>
          </cell>
          <cell r="E628">
            <v>78000891</v>
          </cell>
          <cell r="F628">
            <v>4000000</v>
          </cell>
          <cell r="G628">
            <v>0</v>
          </cell>
          <cell r="H628">
            <v>4000000</v>
          </cell>
          <cell r="I628">
            <v>3</v>
          </cell>
        </row>
        <row r="629">
          <cell r="C629">
            <v>601142423</v>
          </cell>
          <cell r="D629" t="str">
            <v>有・ヤマオカ　　　　</v>
          </cell>
          <cell r="E629">
            <v>28855275</v>
          </cell>
          <cell r="F629">
            <v>9000000</v>
          </cell>
          <cell r="G629">
            <v>0</v>
          </cell>
          <cell r="H629">
            <v>9000000</v>
          </cell>
          <cell r="I629">
            <v>4</v>
          </cell>
        </row>
        <row r="630">
          <cell r="C630">
            <v>601142912</v>
          </cell>
          <cell r="D630" t="str">
            <v>三沢　圭介　　　　　</v>
          </cell>
          <cell r="E630">
            <v>1386330</v>
          </cell>
          <cell r="F630">
            <v>1000000</v>
          </cell>
          <cell r="G630">
            <v>0</v>
          </cell>
          <cell r="H630">
            <v>1000000</v>
          </cell>
          <cell r="I630">
            <v>4</v>
          </cell>
        </row>
        <row r="631">
          <cell r="C631">
            <v>601143148</v>
          </cell>
          <cell r="D631" t="str">
            <v>山岡　靖弘　　　　　</v>
          </cell>
          <cell r="E631">
            <v>28514902</v>
          </cell>
          <cell r="F631">
            <v>19000000</v>
          </cell>
          <cell r="G631">
            <v>0</v>
          </cell>
          <cell r="H631">
            <v>19000000</v>
          </cell>
          <cell r="I631">
            <v>4</v>
          </cell>
        </row>
        <row r="632">
          <cell r="C632">
            <v>601147624</v>
          </cell>
          <cell r="D632" t="str">
            <v>株・花岡家具センター</v>
          </cell>
          <cell r="E632">
            <v>97139100</v>
          </cell>
          <cell r="F632">
            <v>35000000</v>
          </cell>
          <cell r="G632">
            <v>0</v>
          </cell>
          <cell r="H632">
            <v>35000000</v>
          </cell>
          <cell r="I632">
            <v>3</v>
          </cell>
        </row>
        <row r="633">
          <cell r="C633">
            <v>601152418</v>
          </cell>
          <cell r="D633" t="str">
            <v>有・勝田製作所　　　</v>
          </cell>
          <cell r="E633">
            <v>19020000</v>
          </cell>
          <cell r="F633">
            <v>2000000</v>
          </cell>
          <cell r="G633">
            <v>0</v>
          </cell>
          <cell r="H633">
            <v>2000000</v>
          </cell>
          <cell r="I633">
            <v>4</v>
          </cell>
        </row>
        <row r="634">
          <cell r="C634">
            <v>601155660</v>
          </cell>
          <cell r="D634" t="str">
            <v>谷中　訓雄　　　　　</v>
          </cell>
          <cell r="E634">
            <v>5850000</v>
          </cell>
          <cell r="F634">
            <v>5000000</v>
          </cell>
          <cell r="G634">
            <v>0</v>
          </cell>
          <cell r="H634">
            <v>5000000</v>
          </cell>
          <cell r="I634">
            <v>5</v>
          </cell>
        </row>
        <row r="635">
          <cell r="C635">
            <v>601156592</v>
          </cell>
          <cell r="D635" t="str">
            <v>有・三幸精機製作所　</v>
          </cell>
          <cell r="E635">
            <v>38832231</v>
          </cell>
          <cell r="F635">
            <v>1000000</v>
          </cell>
          <cell r="G635">
            <v>0</v>
          </cell>
          <cell r="H635">
            <v>1000000</v>
          </cell>
          <cell r="I635">
            <v>3</v>
          </cell>
        </row>
        <row r="636">
          <cell r="C636">
            <v>601160878</v>
          </cell>
          <cell r="D636" t="str">
            <v>有・ヤマモト　　　　</v>
          </cell>
          <cell r="E636">
            <v>32825000</v>
          </cell>
          <cell r="F636">
            <v>4000000</v>
          </cell>
          <cell r="G636">
            <v>0</v>
          </cell>
          <cell r="H636">
            <v>4000000</v>
          </cell>
          <cell r="I636">
            <v>3</v>
          </cell>
        </row>
        <row r="637">
          <cell r="C637">
            <v>601161537</v>
          </cell>
          <cell r="D637" t="str">
            <v>有・広和プレス　　　</v>
          </cell>
          <cell r="E637">
            <v>15500000</v>
          </cell>
          <cell r="F637">
            <v>1000000</v>
          </cell>
          <cell r="G637">
            <v>0</v>
          </cell>
          <cell r="H637">
            <v>1000000</v>
          </cell>
          <cell r="I637">
            <v>3</v>
          </cell>
        </row>
        <row r="638">
          <cell r="C638">
            <v>602392574</v>
          </cell>
          <cell r="D638" t="str">
            <v>小口　義雄　　　　　</v>
          </cell>
          <cell r="E638">
            <v>22960000</v>
          </cell>
          <cell r="F638">
            <v>4000000</v>
          </cell>
          <cell r="G638">
            <v>0</v>
          </cell>
          <cell r="H638">
            <v>4000000</v>
          </cell>
          <cell r="I638">
            <v>3</v>
          </cell>
        </row>
        <row r="639">
          <cell r="C639">
            <v>601092964</v>
          </cell>
          <cell r="D639" t="str">
            <v>ヤマコ原商事・株　　</v>
          </cell>
          <cell r="E639">
            <v>68790247</v>
          </cell>
          <cell r="F639">
            <v>9000000</v>
          </cell>
          <cell r="G639">
            <v>0</v>
          </cell>
          <cell r="H639">
            <v>9000000</v>
          </cell>
          <cell r="I639">
            <v>3</v>
          </cell>
        </row>
        <row r="640">
          <cell r="C640">
            <v>601169435</v>
          </cell>
          <cell r="D640" t="str">
            <v>亀源醸造・株　　　　</v>
          </cell>
          <cell r="E640">
            <v>105200078</v>
          </cell>
          <cell r="F640">
            <v>21000000</v>
          </cell>
          <cell r="G640">
            <v>0</v>
          </cell>
          <cell r="H640">
            <v>21000000</v>
          </cell>
          <cell r="I640">
            <v>4</v>
          </cell>
        </row>
        <row r="641">
          <cell r="C641">
            <v>601171153</v>
          </cell>
          <cell r="D641" t="str">
            <v>伊藤　幸平　　　　　</v>
          </cell>
          <cell r="E641">
            <v>0</v>
          </cell>
          <cell r="F641">
            <v>0</v>
          </cell>
          <cell r="G641">
            <v>0</v>
          </cell>
          <cell r="H641">
            <v>0</v>
          </cell>
          <cell r="I641">
            <v>5</v>
          </cell>
        </row>
        <row r="642">
          <cell r="C642">
            <v>601172085</v>
          </cell>
          <cell r="D642" t="str">
            <v>有・諏訪観光ホテル　</v>
          </cell>
          <cell r="E642">
            <v>17535325</v>
          </cell>
          <cell r="F642">
            <v>0</v>
          </cell>
          <cell r="G642">
            <v>0</v>
          </cell>
          <cell r="H642">
            <v>0</v>
          </cell>
          <cell r="I642">
            <v>3</v>
          </cell>
        </row>
        <row r="643">
          <cell r="C643">
            <v>601173875</v>
          </cell>
          <cell r="D643" t="str">
            <v>有・若草ネ－ムプレ－</v>
          </cell>
          <cell r="E643">
            <v>1608000</v>
          </cell>
          <cell r="F643">
            <v>1000000</v>
          </cell>
          <cell r="G643">
            <v>0</v>
          </cell>
          <cell r="H643">
            <v>1000000</v>
          </cell>
          <cell r="I643">
            <v>4</v>
          </cell>
        </row>
        <row r="644">
          <cell r="C644">
            <v>601174838</v>
          </cell>
          <cell r="D644" t="str">
            <v>有・清川　　　　　　</v>
          </cell>
          <cell r="E644">
            <v>90554170</v>
          </cell>
          <cell r="F644">
            <v>34000000</v>
          </cell>
          <cell r="G644">
            <v>0</v>
          </cell>
          <cell r="H644">
            <v>34000000</v>
          </cell>
          <cell r="I644">
            <v>3</v>
          </cell>
        </row>
        <row r="645">
          <cell r="C645">
            <v>601175488</v>
          </cell>
          <cell r="D645" t="str">
            <v>矢沢モーター販売・株</v>
          </cell>
          <cell r="E645">
            <v>169579994</v>
          </cell>
          <cell r="F645">
            <v>100000000</v>
          </cell>
          <cell r="G645">
            <v>0</v>
          </cell>
          <cell r="H645">
            <v>100000000</v>
          </cell>
          <cell r="I645">
            <v>4</v>
          </cell>
        </row>
        <row r="646">
          <cell r="C646">
            <v>601176354</v>
          </cell>
          <cell r="D646" t="str">
            <v>株・昭和設備　　　　</v>
          </cell>
          <cell r="E646">
            <v>128450000</v>
          </cell>
          <cell r="F646">
            <v>32000000</v>
          </cell>
          <cell r="G646">
            <v>0</v>
          </cell>
          <cell r="H646">
            <v>32000000</v>
          </cell>
          <cell r="I646">
            <v>3</v>
          </cell>
        </row>
        <row r="647">
          <cell r="C647">
            <v>601184932</v>
          </cell>
          <cell r="D647" t="str">
            <v>株・諏訪製菓　　　　</v>
          </cell>
          <cell r="E647">
            <v>135186000</v>
          </cell>
          <cell r="F647">
            <v>48000000</v>
          </cell>
          <cell r="G647">
            <v>0</v>
          </cell>
          <cell r="H647">
            <v>48000000</v>
          </cell>
          <cell r="I647">
            <v>3</v>
          </cell>
        </row>
        <row r="648">
          <cell r="C648">
            <v>601185386</v>
          </cell>
          <cell r="D648" t="str">
            <v>株・ホテル布半　　　</v>
          </cell>
          <cell r="E648">
            <v>1526544796</v>
          </cell>
          <cell r="F648">
            <v>434000000</v>
          </cell>
          <cell r="G648">
            <v>0</v>
          </cell>
          <cell r="H648">
            <v>434000000</v>
          </cell>
          <cell r="I648">
            <v>3</v>
          </cell>
        </row>
        <row r="649">
          <cell r="C649">
            <v>601186805</v>
          </cell>
          <cell r="D649" t="str">
            <v>渡辺　孝男　　　　　</v>
          </cell>
          <cell r="E649">
            <v>2167227</v>
          </cell>
          <cell r="F649">
            <v>2000000</v>
          </cell>
          <cell r="G649">
            <v>0</v>
          </cell>
          <cell r="H649">
            <v>2000000</v>
          </cell>
          <cell r="I649">
            <v>5</v>
          </cell>
        </row>
        <row r="650">
          <cell r="C650">
            <v>602051194</v>
          </cell>
          <cell r="D650" t="str">
            <v>有・萩田運送　　　　</v>
          </cell>
          <cell r="E650">
            <v>10698300</v>
          </cell>
          <cell r="F650">
            <v>4000000</v>
          </cell>
          <cell r="G650">
            <v>0</v>
          </cell>
          <cell r="H650">
            <v>4000000</v>
          </cell>
          <cell r="I650">
            <v>3</v>
          </cell>
        </row>
        <row r="651">
          <cell r="C651">
            <v>602735342</v>
          </cell>
          <cell r="D651" t="str">
            <v>有・ニューハイボーリ</v>
          </cell>
          <cell r="E651">
            <v>1031468000</v>
          </cell>
          <cell r="F651">
            <v>707000000</v>
          </cell>
          <cell r="G651">
            <v>0</v>
          </cell>
          <cell r="H651">
            <v>707000000</v>
          </cell>
          <cell r="I651">
            <v>4</v>
          </cell>
        </row>
        <row r="652">
          <cell r="C652">
            <v>601195164</v>
          </cell>
          <cell r="D652" t="str">
            <v>諏訪土地開発・株　　</v>
          </cell>
          <cell r="E652">
            <v>10000000</v>
          </cell>
          <cell r="F652">
            <v>3000000</v>
          </cell>
          <cell r="G652">
            <v>0</v>
          </cell>
          <cell r="H652">
            <v>3000000</v>
          </cell>
          <cell r="I652">
            <v>3</v>
          </cell>
        </row>
        <row r="653">
          <cell r="C653">
            <v>601195577</v>
          </cell>
          <cell r="D653" t="str">
            <v>有・高原の店　　　　</v>
          </cell>
          <cell r="E653">
            <v>3077074</v>
          </cell>
          <cell r="F653">
            <v>1000000</v>
          </cell>
          <cell r="G653">
            <v>0</v>
          </cell>
          <cell r="H653">
            <v>1000000</v>
          </cell>
          <cell r="I653">
            <v>3</v>
          </cell>
        </row>
        <row r="654">
          <cell r="C654">
            <v>601200526</v>
          </cell>
          <cell r="D654" t="str">
            <v>有・スズキヤ薬局　　</v>
          </cell>
          <cell r="E654">
            <v>74000000</v>
          </cell>
          <cell r="F654">
            <v>35000000</v>
          </cell>
          <cell r="G654">
            <v>0</v>
          </cell>
          <cell r="H654">
            <v>35000000</v>
          </cell>
          <cell r="I654">
            <v>3</v>
          </cell>
        </row>
        <row r="655">
          <cell r="C655">
            <v>601201241</v>
          </cell>
          <cell r="D655" t="str">
            <v>宮坂　進三　　　　　</v>
          </cell>
          <cell r="E655">
            <v>10510774</v>
          </cell>
          <cell r="F655">
            <v>7000000</v>
          </cell>
          <cell r="G655">
            <v>0</v>
          </cell>
          <cell r="H655">
            <v>7000000</v>
          </cell>
          <cell r="I655">
            <v>3</v>
          </cell>
        </row>
        <row r="656">
          <cell r="C656">
            <v>601201687</v>
          </cell>
          <cell r="D656" t="str">
            <v>第一不動産・株　諏訪</v>
          </cell>
          <cell r="E656">
            <v>632015928</v>
          </cell>
          <cell r="F656">
            <v>408000000</v>
          </cell>
          <cell r="G656">
            <v>0</v>
          </cell>
          <cell r="H656">
            <v>408000000</v>
          </cell>
          <cell r="I656">
            <v>4</v>
          </cell>
        </row>
        <row r="657">
          <cell r="C657">
            <v>601202139</v>
          </cell>
          <cell r="D657" t="str">
            <v>有・岩谷　　　　　　</v>
          </cell>
          <cell r="E657">
            <v>115863632</v>
          </cell>
          <cell r="F657">
            <v>24000000</v>
          </cell>
          <cell r="G657">
            <v>0</v>
          </cell>
          <cell r="H657">
            <v>24000000</v>
          </cell>
          <cell r="I657">
            <v>3</v>
          </cell>
        </row>
        <row r="658">
          <cell r="C658">
            <v>601203789</v>
          </cell>
          <cell r="D658" t="str">
            <v>諏訪麗人キリン販売株</v>
          </cell>
          <cell r="E658">
            <v>146830000</v>
          </cell>
          <cell r="F658">
            <v>6000000</v>
          </cell>
          <cell r="G658">
            <v>0</v>
          </cell>
          <cell r="H658">
            <v>6000000</v>
          </cell>
          <cell r="I658">
            <v>4</v>
          </cell>
        </row>
        <row r="659">
          <cell r="C659">
            <v>601203876</v>
          </cell>
          <cell r="D659" t="str">
            <v>株・ギムス　　　　　</v>
          </cell>
          <cell r="E659">
            <v>47385000</v>
          </cell>
          <cell r="F659">
            <v>15000000</v>
          </cell>
          <cell r="G659">
            <v>0</v>
          </cell>
          <cell r="H659">
            <v>15000000</v>
          </cell>
          <cell r="I659">
            <v>3</v>
          </cell>
        </row>
        <row r="660">
          <cell r="C660">
            <v>601685641</v>
          </cell>
          <cell r="D660" t="str">
            <v>村山　良一　　　　　</v>
          </cell>
          <cell r="E660">
            <v>169670458</v>
          </cell>
          <cell r="F660">
            <v>121000000</v>
          </cell>
          <cell r="G660">
            <v>0</v>
          </cell>
          <cell r="H660">
            <v>121000000</v>
          </cell>
          <cell r="I660">
            <v>4</v>
          </cell>
        </row>
        <row r="661">
          <cell r="C661">
            <v>601207798</v>
          </cell>
          <cell r="D661" t="str">
            <v>有・牛尼商店　　　　</v>
          </cell>
          <cell r="E661">
            <v>67000000</v>
          </cell>
          <cell r="F661">
            <v>16000000</v>
          </cell>
          <cell r="G661">
            <v>0</v>
          </cell>
          <cell r="H661">
            <v>16000000</v>
          </cell>
          <cell r="I661">
            <v>3</v>
          </cell>
        </row>
        <row r="662">
          <cell r="C662">
            <v>601208153</v>
          </cell>
          <cell r="D662" t="str">
            <v>吉田　堅司　　　　　</v>
          </cell>
          <cell r="E662">
            <v>10529764</v>
          </cell>
          <cell r="F662">
            <v>10000000</v>
          </cell>
          <cell r="G662">
            <v>0</v>
          </cell>
          <cell r="H662">
            <v>10000000</v>
          </cell>
          <cell r="I662">
            <v>4</v>
          </cell>
        </row>
        <row r="663">
          <cell r="C663">
            <v>601210348</v>
          </cell>
          <cell r="D663" t="str">
            <v>株・南信食糧商事　　</v>
          </cell>
          <cell r="E663">
            <v>0</v>
          </cell>
          <cell r="F663">
            <v>0</v>
          </cell>
          <cell r="G663">
            <v>0</v>
          </cell>
          <cell r="H663">
            <v>0</v>
          </cell>
          <cell r="I663">
            <v>5</v>
          </cell>
        </row>
        <row r="664">
          <cell r="C664">
            <v>602376189</v>
          </cell>
          <cell r="D664" t="str">
            <v>小林製作所・有　　　</v>
          </cell>
          <cell r="E664">
            <v>12300000</v>
          </cell>
          <cell r="F664">
            <v>12000000</v>
          </cell>
          <cell r="G664">
            <v>0</v>
          </cell>
          <cell r="H664">
            <v>12000000</v>
          </cell>
          <cell r="I664">
            <v>4</v>
          </cell>
        </row>
        <row r="665">
          <cell r="C665">
            <v>602474373</v>
          </cell>
          <cell r="D665" t="str">
            <v>有・山五商事　　　　</v>
          </cell>
          <cell r="E665">
            <v>34890000</v>
          </cell>
          <cell r="F665">
            <v>3000000</v>
          </cell>
          <cell r="G665">
            <v>0</v>
          </cell>
          <cell r="H665">
            <v>3000000</v>
          </cell>
          <cell r="I665">
            <v>3</v>
          </cell>
        </row>
        <row r="666">
          <cell r="C666">
            <v>602489994</v>
          </cell>
          <cell r="D666" t="str">
            <v>平林　和子　　　　　</v>
          </cell>
          <cell r="E666">
            <v>25425984</v>
          </cell>
          <cell r="F666">
            <v>8000000</v>
          </cell>
          <cell r="G666">
            <v>0</v>
          </cell>
          <cell r="H666">
            <v>8000000</v>
          </cell>
          <cell r="I666">
            <v>4</v>
          </cell>
        </row>
        <row r="667">
          <cell r="C667">
            <v>602519342</v>
          </cell>
          <cell r="D667" t="str">
            <v>平林　敏男　　　　　</v>
          </cell>
          <cell r="E667">
            <v>28094697</v>
          </cell>
          <cell r="F667">
            <v>17000000</v>
          </cell>
          <cell r="G667">
            <v>0</v>
          </cell>
          <cell r="H667">
            <v>17000000</v>
          </cell>
          <cell r="I667">
            <v>4</v>
          </cell>
        </row>
        <row r="668">
          <cell r="C668">
            <v>601215898</v>
          </cell>
          <cell r="D668" t="str">
            <v>株・地紙世商店　　　</v>
          </cell>
          <cell r="E668">
            <v>250634168</v>
          </cell>
          <cell r="F668">
            <v>17000000</v>
          </cell>
          <cell r="G668" t="str">
            <v/>
          </cell>
          <cell r="H668" t="e">
            <v>#VALUE!</v>
          </cell>
          <cell r="I668">
            <v>3</v>
          </cell>
        </row>
        <row r="669">
          <cell r="C669">
            <v>601216166</v>
          </cell>
          <cell r="D669" t="str">
            <v>資・親湯温泉　　　　</v>
          </cell>
          <cell r="E669">
            <v>429250000</v>
          </cell>
          <cell r="F669">
            <v>172000000</v>
          </cell>
          <cell r="G669">
            <v>0</v>
          </cell>
          <cell r="H669">
            <v>172000000</v>
          </cell>
          <cell r="I669">
            <v>3</v>
          </cell>
        </row>
        <row r="670">
          <cell r="C670">
            <v>601219145</v>
          </cell>
          <cell r="D670" t="str">
            <v>保科　政人　　　　　</v>
          </cell>
          <cell r="E670">
            <v>88437000</v>
          </cell>
          <cell r="F670">
            <v>1000000</v>
          </cell>
          <cell r="G670">
            <v>0</v>
          </cell>
          <cell r="H670">
            <v>1000000</v>
          </cell>
          <cell r="I670">
            <v>3</v>
          </cell>
        </row>
        <row r="671">
          <cell r="C671">
            <v>601219732</v>
          </cell>
          <cell r="D671" t="str">
            <v>株・渋川温泉保科館　</v>
          </cell>
          <cell r="E671">
            <v>57218967</v>
          </cell>
          <cell r="F671">
            <v>14000000</v>
          </cell>
          <cell r="G671">
            <v>0</v>
          </cell>
          <cell r="H671">
            <v>14000000</v>
          </cell>
          <cell r="I671">
            <v>3</v>
          </cell>
        </row>
        <row r="672">
          <cell r="C672">
            <v>601221449</v>
          </cell>
          <cell r="D672" t="str">
            <v>株・飯田組　　　　　</v>
          </cell>
          <cell r="E672">
            <v>160264458</v>
          </cell>
          <cell r="F672">
            <v>73031669</v>
          </cell>
          <cell r="G672">
            <v>55409669</v>
          </cell>
          <cell r="H672">
            <v>128441338</v>
          </cell>
          <cell r="I672">
            <v>5</v>
          </cell>
        </row>
        <row r="673">
          <cell r="C673">
            <v>601222435</v>
          </cell>
          <cell r="D673" t="str">
            <v>株・エーデル　　　　</v>
          </cell>
          <cell r="E673">
            <v>99785450</v>
          </cell>
          <cell r="F673">
            <v>56000000</v>
          </cell>
          <cell r="G673">
            <v>0</v>
          </cell>
          <cell r="H673">
            <v>56000000</v>
          </cell>
          <cell r="I673">
            <v>4</v>
          </cell>
        </row>
        <row r="674">
          <cell r="C674">
            <v>601225263</v>
          </cell>
          <cell r="D674" t="str">
            <v>有・ニュー白樺　　　</v>
          </cell>
          <cell r="E674">
            <v>31537800</v>
          </cell>
          <cell r="F674">
            <v>4000000</v>
          </cell>
          <cell r="G674">
            <v>0</v>
          </cell>
          <cell r="H674">
            <v>4000000</v>
          </cell>
          <cell r="I674">
            <v>4</v>
          </cell>
        </row>
        <row r="675">
          <cell r="C675">
            <v>601225274</v>
          </cell>
          <cell r="D675" t="str">
            <v>高山　武　　　　　　</v>
          </cell>
          <cell r="E675">
            <v>206750800</v>
          </cell>
          <cell r="F675">
            <v>52000000</v>
          </cell>
          <cell r="G675">
            <v>0</v>
          </cell>
          <cell r="H675">
            <v>52000000</v>
          </cell>
          <cell r="I675">
            <v>4</v>
          </cell>
        </row>
        <row r="676">
          <cell r="C676">
            <v>601227843</v>
          </cell>
          <cell r="D676" t="str">
            <v>株・金小小川支商店　</v>
          </cell>
          <cell r="E676">
            <v>380320000</v>
          </cell>
          <cell r="F676">
            <v>124000000</v>
          </cell>
          <cell r="G676">
            <v>0</v>
          </cell>
          <cell r="H676">
            <v>124000000</v>
          </cell>
          <cell r="I676">
            <v>3</v>
          </cell>
        </row>
        <row r="677">
          <cell r="C677">
            <v>601228340</v>
          </cell>
          <cell r="D677" t="str">
            <v>守矢　守　　　　　　</v>
          </cell>
          <cell r="E677">
            <v>1123961</v>
          </cell>
          <cell r="F677">
            <v>1000000</v>
          </cell>
          <cell r="G677">
            <v>0</v>
          </cell>
          <cell r="H677">
            <v>1000000</v>
          </cell>
          <cell r="I677">
            <v>4</v>
          </cell>
        </row>
        <row r="678">
          <cell r="C678">
            <v>601228839</v>
          </cell>
          <cell r="D678" t="str">
            <v>代田　嘉彦　　　　　</v>
          </cell>
          <cell r="E678">
            <v>22558002</v>
          </cell>
          <cell r="F678">
            <v>11000000</v>
          </cell>
          <cell r="G678">
            <v>0</v>
          </cell>
          <cell r="H678">
            <v>11000000</v>
          </cell>
          <cell r="I678">
            <v>4</v>
          </cell>
        </row>
        <row r="679">
          <cell r="C679">
            <v>601232311</v>
          </cell>
          <cell r="D679" t="str">
            <v>松木寒天産業・株　　</v>
          </cell>
          <cell r="E679">
            <v>574181533</v>
          </cell>
          <cell r="F679">
            <v>138000000</v>
          </cell>
          <cell r="G679">
            <v>0</v>
          </cell>
          <cell r="H679">
            <v>138000000</v>
          </cell>
          <cell r="I679">
            <v>3</v>
          </cell>
        </row>
        <row r="680">
          <cell r="C680">
            <v>601232366</v>
          </cell>
          <cell r="D680" t="str">
            <v>株・白樺湖ホテル山善</v>
          </cell>
          <cell r="E680">
            <v>784113756</v>
          </cell>
          <cell r="F680">
            <v>295000000</v>
          </cell>
          <cell r="G680">
            <v>0</v>
          </cell>
          <cell r="H680">
            <v>295000000</v>
          </cell>
          <cell r="I680">
            <v>3</v>
          </cell>
        </row>
        <row r="681">
          <cell r="C681">
            <v>601256399</v>
          </cell>
          <cell r="D681" t="str">
            <v>橋本　省二　　　　　</v>
          </cell>
          <cell r="E681">
            <v>12221047</v>
          </cell>
          <cell r="F681">
            <v>12000000</v>
          </cell>
          <cell r="G681">
            <v>0</v>
          </cell>
          <cell r="H681">
            <v>12000000</v>
          </cell>
          <cell r="I681">
            <v>4</v>
          </cell>
        </row>
        <row r="682">
          <cell r="C682">
            <v>601491970</v>
          </cell>
          <cell r="D682" t="str">
            <v>株・信州予約センター</v>
          </cell>
          <cell r="E682">
            <v>47368072</v>
          </cell>
          <cell r="F682">
            <v>8000000</v>
          </cell>
          <cell r="G682">
            <v>0</v>
          </cell>
          <cell r="H682">
            <v>8000000</v>
          </cell>
          <cell r="I682">
            <v>4</v>
          </cell>
        </row>
        <row r="683">
          <cell r="C683">
            <v>602142643</v>
          </cell>
          <cell r="D683" t="str">
            <v>有・丸千寿屋　　　　</v>
          </cell>
          <cell r="E683">
            <v>18650000</v>
          </cell>
          <cell r="F683">
            <v>1000000</v>
          </cell>
          <cell r="G683">
            <v>0</v>
          </cell>
          <cell r="H683">
            <v>1000000</v>
          </cell>
          <cell r="I683">
            <v>3</v>
          </cell>
        </row>
        <row r="684">
          <cell r="C684">
            <v>602267372</v>
          </cell>
          <cell r="D684" t="str">
            <v>山本　史夫　　　　　</v>
          </cell>
          <cell r="E684">
            <v>26750000</v>
          </cell>
          <cell r="F684">
            <v>8000000</v>
          </cell>
          <cell r="G684">
            <v>0</v>
          </cell>
          <cell r="H684">
            <v>8000000</v>
          </cell>
          <cell r="I684">
            <v>4</v>
          </cell>
        </row>
        <row r="685">
          <cell r="C685">
            <v>602378281</v>
          </cell>
          <cell r="D685" t="str">
            <v>有・栄屋旅館　　　　</v>
          </cell>
          <cell r="E685">
            <v>132476031</v>
          </cell>
          <cell r="F685">
            <v>30000000</v>
          </cell>
          <cell r="G685">
            <v>0</v>
          </cell>
          <cell r="H685">
            <v>30000000</v>
          </cell>
          <cell r="I685">
            <v>3</v>
          </cell>
        </row>
        <row r="686">
          <cell r="C686">
            <v>602498426</v>
          </cell>
          <cell r="D686" t="str">
            <v>有・三万石　　　　　</v>
          </cell>
          <cell r="E686">
            <v>115360000</v>
          </cell>
          <cell r="F686">
            <v>59000000</v>
          </cell>
          <cell r="G686">
            <v>0</v>
          </cell>
          <cell r="H686">
            <v>59000000</v>
          </cell>
          <cell r="I686">
            <v>4</v>
          </cell>
        </row>
        <row r="687">
          <cell r="C687">
            <v>602739024</v>
          </cell>
          <cell r="D687" t="str">
            <v>有・日本クリエイト　</v>
          </cell>
          <cell r="E687">
            <v>100978000</v>
          </cell>
          <cell r="F687">
            <v>16000000</v>
          </cell>
          <cell r="G687">
            <v>0</v>
          </cell>
          <cell r="H687">
            <v>16000000</v>
          </cell>
          <cell r="I687">
            <v>3</v>
          </cell>
        </row>
        <row r="688">
          <cell r="C688">
            <v>602739948</v>
          </cell>
          <cell r="D688" t="str">
            <v>栗田　博　　　　　　</v>
          </cell>
          <cell r="E688">
            <v>11331657</v>
          </cell>
          <cell r="F688">
            <v>2000000</v>
          </cell>
          <cell r="G688">
            <v>0</v>
          </cell>
          <cell r="H688">
            <v>2000000</v>
          </cell>
          <cell r="I688">
            <v>4</v>
          </cell>
        </row>
        <row r="689">
          <cell r="C689">
            <v>602777677</v>
          </cell>
          <cell r="D689" t="str">
            <v>高山　揚子　　　　　</v>
          </cell>
          <cell r="E689">
            <v>38114400</v>
          </cell>
          <cell r="F689">
            <v>16000000</v>
          </cell>
          <cell r="G689">
            <v>0</v>
          </cell>
          <cell r="H689">
            <v>16000000</v>
          </cell>
          <cell r="I689">
            <v>4</v>
          </cell>
        </row>
        <row r="690">
          <cell r="C690">
            <v>602850255</v>
          </cell>
          <cell r="D690" t="str">
            <v>株・アガフ－ズ　　　</v>
          </cell>
          <cell r="E690">
            <v>103441447</v>
          </cell>
          <cell r="F690">
            <v>22000000</v>
          </cell>
          <cell r="G690">
            <v>0</v>
          </cell>
          <cell r="H690">
            <v>22000000</v>
          </cell>
          <cell r="I690">
            <v>4</v>
          </cell>
        </row>
        <row r="691">
          <cell r="C691">
            <v>602892926</v>
          </cell>
          <cell r="D691" t="str">
            <v>石田　正樹　　　　　</v>
          </cell>
          <cell r="E691">
            <v>1679516</v>
          </cell>
          <cell r="F691">
            <v>0</v>
          </cell>
          <cell r="G691">
            <v>0</v>
          </cell>
          <cell r="H691">
            <v>0</v>
          </cell>
          <cell r="I691">
            <v>4</v>
          </cell>
        </row>
        <row r="692">
          <cell r="C692">
            <v>601240488</v>
          </cell>
          <cell r="D692" t="str">
            <v>株・大丸屋　　　　　</v>
          </cell>
          <cell r="E692">
            <v>8300000</v>
          </cell>
          <cell r="F692">
            <v>1000000</v>
          </cell>
          <cell r="G692">
            <v>0</v>
          </cell>
          <cell r="H692">
            <v>1000000</v>
          </cell>
          <cell r="I692">
            <v>3</v>
          </cell>
        </row>
        <row r="693">
          <cell r="C693">
            <v>601242622</v>
          </cell>
          <cell r="D693" t="str">
            <v>株・日進精機　　　　</v>
          </cell>
          <cell r="E693">
            <v>188153000</v>
          </cell>
          <cell r="F693">
            <v>46000000</v>
          </cell>
          <cell r="G693">
            <v>0</v>
          </cell>
          <cell r="H693">
            <v>46000000</v>
          </cell>
          <cell r="I693">
            <v>4</v>
          </cell>
        </row>
        <row r="694">
          <cell r="C694">
            <v>601243369</v>
          </cell>
          <cell r="D694" t="str">
            <v>社団法人富士見町開発</v>
          </cell>
          <cell r="E694">
            <v>1577080000</v>
          </cell>
          <cell r="F694">
            <v>484000000</v>
          </cell>
          <cell r="G694">
            <v>0</v>
          </cell>
          <cell r="H694">
            <v>484000000</v>
          </cell>
          <cell r="I694">
            <v>3</v>
          </cell>
        </row>
        <row r="695">
          <cell r="C695">
            <v>601246511</v>
          </cell>
          <cell r="D695" t="str">
            <v>染矢　芳孝　　　　　</v>
          </cell>
          <cell r="E695">
            <v>0</v>
          </cell>
          <cell r="F695">
            <v>0</v>
          </cell>
          <cell r="G695">
            <v>0</v>
          </cell>
          <cell r="H695">
            <v>0</v>
          </cell>
          <cell r="I695" t="str">
            <v/>
          </cell>
        </row>
        <row r="696">
          <cell r="C696">
            <v>601247258</v>
          </cell>
          <cell r="D696" t="str">
            <v>エヌエイチ商事・株　</v>
          </cell>
          <cell r="E696">
            <v>195000000</v>
          </cell>
          <cell r="F696">
            <v>34000000</v>
          </cell>
          <cell r="G696">
            <v>0</v>
          </cell>
          <cell r="H696">
            <v>34000000</v>
          </cell>
          <cell r="I696">
            <v>3</v>
          </cell>
        </row>
        <row r="697">
          <cell r="C697">
            <v>601766007</v>
          </cell>
          <cell r="D697" t="str">
            <v>藤森　一郎　　　　　</v>
          </cell>
          <cell r="E697">
            <v>6366386</v>
          </cell>
          <cell r="F697">
            <v>6000000</v>
          </cell>
          <cell r="G697">
            <v>0</v>
          </cell>
          <cell r="H697">
            <v>6000000</v>
          </cell>
          <cell r="I697">
            <v>4</v>
          </cell>
        </row>
        <row r="698">
          <cell r="C698">
            <v>601250320</v>
          </cell>
          <cell r="D698" t="str">
            <v>名・天正堂　　　　　</v>
          </cell>
          <cell r="E698">
            <v>61334000</v>
          </cell>
          <cell r="F698">
            <v>12000000</v>
          </cell>
          <cell r="G698">
            <v>0</v>
          </cell>
          <cell r="H698">
            <v>12000000</v>
          </cell>
          <cell r="I698">
            <v>3</v>
          </cell>
        </row>
        <row r="699">
          <cell r="C699">
            <v>601256497</v>
          </cell>
          <cell r="D699" t="str">
            <v>株・ローヤルホーム　</v>
          </cell>
          <cell r="E699">
            <v>255234000</v>
          </cell>
          <cell r="F699">
            <v>109000000</v>
          </cell>
          <cell r="G699">
            <v>0</v>
          </cell>
          <cell r="H699">
            <v>109000000</v>
          </cell>
          <cell r="I699">
            <v>3</v>
          </cell>
        </row>
        <row r="700">
          <cell r="C700">
            <v>601258228</v>
          </cell>
          <cell r="D700" t="str">
            <v>株・島田屋　　　　　</v>
          </cell>
          <cell r="E700">
            <v>136397000</v>
          </cell>
          <cell r="F700">
            <v>36000000</v>
          </cell>
          <cell r="G700">
            <v>0</v>
          </cell>
          <cell r="H700">
            <v>36000000</v>
          </cell>
          <cell r="I700">
            <v>3</v>
          </cell>
        </row>
        <row r="701">
          <cell r="C701">
            <v>601258326</v>
          </cell>
          <cell r="D701" t="str">
            <v>有・山二酒店　　　　</v>
          </cell>
          <cell r="E701">
            <v>8034000</v>
          </cell>
          <cell r="F701">
            <v>1000000</v>
          </cell>
          <cell r="G701">
            <v>0</v>
          </cell>
          <cell r="H701">
            <v>1000000</v>
          </cell>
          <cell r="I701">
            <v>3</v>
          </cell>
        </row>
        <row r="702">
          <cell r="C702">
            <v>601259029</v>
          </cell>
          <cell r="D702" t="str">
            <v>資・小林書店　　　　</v>
          </cell>
          <cell r="E702">
            <v>30495000</v>
          </cell>
          <cell r="F702">
            <v>0</v>
          </cell>
          <cell r="G702">
            <v>0</v>
          </cell>
          <cell r="H702">
            <v>0</v>
          </cell>
          <cell r="I702">
            <v>3</v>
          </cell>
        </row>
        <row r="703">
          <cell r="C703">
            <v>601259390</v>
          </cell>
          <cell r="D703" t="str">
            <v>株・丸和ミナミ商店　</v>
          </cell>
          <cell r="E703">
            <v>23701000</v>
          </cell>
          <cell r="F703">
            <v>11000000</v>
          </cell>
          <cell r="G703">
            <v>0</v>
          </cell>
          <cell r="H703">
            <v>11000000</v>
          </cell>
          <cell r="I703">
            <v>4</v>
          </cell>
        </row>
        <row r="704">
          <cell r="C704">
            <v>601263707</v>
          </cell>
          <cell r="D704" t="str">
            <v>林　銑之助　　　　　</v>
          </cell>
          <cell r="E704">
            <v>13687241</v>
          </cell>
          <cell r="F704">
            <v>13000000</v>
          </cell>
          <cell r="G704">
            <v>0</v>
          </cell>
          <cell r="H704">
            <v>13000000</v>
          </cell>
          <cell r="I704">
            <v>4</v>
          </cell>
        </row>
        <row r="705">
          <cell r="C705">
            <v>601635521</v>
          </cell>
          <cell r="D705" t="str">
            <v>福田　孔司　　　　　</v>
          </cell>
          <cell r="E705">
            <v>33952048</v>
          </cell>
          <cell r="F705">
            <v>32000000</v>
          </cell>
          <cell r="G705">
            <v>0</v>
          </cell>
          <cell r="H705">
            <v>32000000</v>
          </cell>
          <cell r="I705">
            <v>4</v>
          </cell>
        </row>
        <row r="706">
          <cell r="C706">
            <v>602939704</v>
          </cell>
          <cell r="D706" t="str">
            <v>松澤　雅彦　　　　　</v>
          </cell>
          <cell r="E706">
            <v>75448972</v>
          </cell>
          <cell r="F706">
            <v>6000000</v>
          </cell>
          <cell r="G706">
            <v>0</v>
          </cell>
          <cell r="H706">
            <v>6000000</v>
          </cell>
          <cell r="I706">
            <v>3</v>
          </cell>
        </row>
        <row r="707">
          <cell r="C707">
            <v>603219149</v>
          </cell>
          <cell r="D707" t="str">
            <v>有・ピ－アンドピ－　</v>
          </cell>
          <cell r="E707">
            <v>67195750</v>
          </cell>
          <cell r="F707">
            <v>2000000</v>
          </cell>
          <cell r="G707">
            <v>0</v>
          </cell>
          <cell r="H707">
            <v>2000000</v>
          </cell>
          <cell r="I707">
            <v>3</v>
          </cell>
        </row>
        <row r="708">
          <cell r="C708">
            <v>601268964</v>
          </cell>
          <cell r="D708" t="str">
            <v>有・堀内製作所　　　</v>
          </cell>
          <cell r="E708">
            <v>3932000</v>
          </cell>
          <cell r="F708">
            <v>2000000</v>
          </cell>
          <cell r="G708">
            <v>0</v>
          </cell>
          <cell r="H708">
            <v>2000000</v>
          </cell>
          <cell r="I708">
            <v>3</v>
          </cell>
        </row>
        <row r="709">
          <cell r="C709">
            <v>601269189</v>
          </cell>
          <cell r="D709" t="str">
            <v>丸十工業・株　　　　</v>
          </cell>
          <cell r="E709">
            <v>28800000</v>
          </cell>
          <cell r="F709">
            <v>10000000</v>
          </cell>
          <cell r="G709">
            <v>0</v>
          </cell>
          <cell r="H709">
            <v>10000000</v>
          </cell>
          <cell r="I709">
            <v>4</v>
          </cell>
        </row>
        <row r="710">
          <cell r="C710">
            <v>601269318</v>
          </cell>
          <cell r="D710" t="str">
            <v>有・山正田中商店　　</v>
          </cell>
          <cell r="E710">
            <v>6257000</v>
          </cell>
          <cell r="F710">
            <v>4000000</v>
          </cell>
          <cell r="G710">
            <v>0</v>
          </cell>
          <cell r="H710">
            <v>4000000</v>
          </cell>
          <cell r="I710">
            <v>3</v>
          </cell>
        </row>
        <row r="711">
          <cell r="C711">
            <v>601270724</v>
          </cell>
          <cell r="D711" t="str">
            <v>有・丸三林製綿所　　</v>
          </cell>
          <cell r="E711">
            <v>21850000</v>
          </cell>
          <cell r="F711">
            <v>13000000</v>
          </cell>
          <cell r="G711">
            <v>0</v>
          </cell>
          <cell r="H711">
            <v>13000000</v>
          </cell>
          <cell r="I711">
            <v>4</v>
          </cell>
        </row>
        <row r="712">
          <cell r="C712">
            <v>601271341</v>
          </cell>
          <cell r="D712" t="str">
            <v>有・矢島工務所　　　</v>
          </cell>
          <cell r="E712">
            <v>91065000</v>
          </cell>
          <cell r="F712">
            <v>17000000</v>
          </cell>
          <cell r="G712">
            <v>0</v>
          </cell>
          <cell r="H712">
            <v>17000000</v>
          </cell>
          <cell r="I712">
            <v>3</v>
          </cell>
        </row>
        <row r="713">
          <cell r="C713">
            <v>601271874</v>
          </cell>
          <cell r="D713" t="str">
            <v>株・東信コンデンサ　</v>
          </cell>
          <cell r="E713">
            <v>101448588</v>
          </cell>
          <cell r="F713">
            <v>36397044</v>
          </cell>
          <cell r="G713">
            <v>4713044</v>
          </cell>
          <cell r="H713">
            <v>41110088</v>
          </cell>
          <cell r="I713">
            <v>5</v>
          </cell>
        </row>
        <row r="714">
          <cell r="C714">
            <v>601272066</v>
          </cell>
          <cell r="D714" t="str">
            <v>村上　良市　　　　　</v>
          </cell>
          <cell r="E714">
            <v>37031854</v>
          </cell>
          <cell r="F714">
            <v>19000000</v>
          </cell>
          <cell r="G714">
            <v>0</v>
          </cell>
          <cell r="H714">
            <v>19000000</v>
          </cell>
          <cell r="I714">
            <v>4</v>
          </cell>
        </row>
        <row r="715">
          <cell r="C715">
            <v>601272599</v>
          </cell>
          <cell r="D715" t="str">
            <v>丸栄辰野食品・株　　</v>
          </cell>
          <cell r="E715">
            <v>1540000</v>
          </cell>
          <cell r="F715">
            <v>1000000</v>
          </cell>
          <cell r="G715">
            <v>0</v>
          </cell>
          <cell r="H715">
            <v>1000000</v>
          </cell>
          <cell r="I715">
            <v>3</v>
          </cell>
        </row>
        <row r="716">
          <cell r="C716">
            <v>601272859</v>
          </cell>
          <cell r="D716" t="str">
            <v>有・大和光学　　　　</v>
          </cell>
          <cell r="E716">
            <v>14009000</v>
          </cell>
          <cell r="F716">
            <v>3000000</v>
          </cell>
          <cell r="G716">
            <v>0</v>
          </cell>
          <cell r="H716">
            <v>3000000</v>
          </cell>
          <cell r="I716">
            <v>3</v>
          </cell>
        </row>
        <row r="717">
          <cell r="C717">
            <v>601273214</v>
          </cell>
          <cell r="D717" t="str">
            <v>有・山なか　　　　　</v>
          </cell>
          <cell r="E717">
            <v>13950000</v>
          </cell>
          <cell r="F717">
            <v>9000000</v>
          </cell>
          <cell r="G717">
            <v>0</v>
          </cell>
          <cell r="H717">
            <v>9000000</v>
          </cell>
          <cell r="I717">
            <v>3</v>
          </cell>
        </row>
        <row r="718">
          <cell r="C718">
            <v>601274831</v>
          </cell>
          <cell r="D718" t="str">
            <v>有・濱電工　　　　　</v>
          </cell>
          <cell r="E718">
            <v>31760000</v>
          </cell>
          <cell r="F718">
            <v>2000000</v>
          </cell>
          <cell r="G718">
            <v>0</v>
          </cell>
          <cell r="H718">
            <v>2000000</v>
          </cell>
          <cell r="I718">
            <v>3</v>
          </cell>
        </row>
        <row r="719">
          <cell r="C719">
            <v>601275774</v>
          </cell>
          <cell r="D719" t="str">
            <v>有・原鉄工所　　　　</v>
          </cell>
          <cell r="E719">
            <v>6749607</v>
          </cell>
          <cell r="F719">
            <v>3374804</v>
          </cell>
          <cell r="G719">
            <v>3374803</v>
          </cell>
          <cell r="H719">
            <v>6749607</v>
          </cell>
          <cell r="I719">
            <v>5</v>
          </cell>
        </row>
        <row r="720">
          <cell r="C720">
            <v>601276715</v>
          </cell>
          <cell r="D720" t="str">
            <v>向山　正一　　　　　</v>
          </cell>
          <cell r="E720">
            <v>11199246</v>
          </cell>
          <cell r="F720">
            <v>3000000</v>
          </cell>
          <cell r="G720">
            <v>0</v>
          </cell>
          <cell r="H720">
            <v>3000000</v>
          </cell>
          <cell r="I720">
            <v>4</v>
          </cell>
        </row>
        <row r="721">
          <cell r="C721">
            <v>601277223</v>
          </cell>
          <cell r="D721" t="str">
            <v>有・精美堂印刷所　　</v>
          </cell>
          <cell r="E721">
            <v>31739484</v>
          </cell>
          <cell r="F721">
            <v>1000000</v>
          </cell>
          <cell r="G721">
            <v>0</v>
          </cell>
          <cell r="H721">
            <v>1000000</v>
          </cell>
          <cell r="I721">
            <v>3</v>
          </cell>
        </row>
        <row r="722">
          <cell r="C722">
            <v>601278144</v>
          </cell>
          <cell r="D722" t="str">
            <v>有・辰野ニット　　　</v>
          </cell>
          <cell r="E722">
            <v>18956890</v>
          </cell>
          <cell r="F722">
            <v>18000000</v>
          </cell>
          <cell r="G722">
            <v>0</v>
          </cell>
          <cell r="H722">
            <v>18000000</v>
          </cell>
          <cell r="I722">
            <v>4</v>
          </cell>
        </row>
        <row r="723">
          <cell r="C723">
            <v>601278351</v>
          </cell>
          <cell r="D723" t="str">
            <v>林　忠志　　　　　　</v>
          </cell>
          <cell r="E723">
            <v>3961378</v>
          </cell>
          <cell r="F723">
            <v>2000000</v>
          </cell>
          <cell r="G723">
            <v>0</v>
          </cell>
          <cell r="H723">
            <v>2000000</v>
          </cell>
          <cell r="I723">
            <v>4</v>
          </cell>
        </row>
        <row r="724">
          <cell r="C724">
            <v>601278895</v>
          </cell>
          <cell r="D724" t="str">
            <v>有賀　真一　　　　　</v>
          </cell>
          <cell r="E724">
            <v>23831196</v>
          </cell>
          <cell r="F724">
            <v>7000000</v>
          </cell>
          <cell r="G724">
            <v>0</v>
          </cell>
          <cell r="H724">
            <v>7000000</v>
          </cell>
          <cell r="I724">
            <v>4</v>
          </cell>
        </row>
        <row r="725">
          <cell r="C725">
            <v>601281489</v>
          </cell>
          <cell r="D725" t="str">
            <v>中谷自動車・有　　　</v>
          </cell>
          <cell r="E725">
            <v>30137364</v>
          </cell>
          <cell r="F725">
            <v>7000000</v>
          </cell>
          <cell r="G725">
            <v>0</v>
          </cell>
          <cell r="H725">
            <v>7000000</v>
          </cell>
          <cell r="I725">
            <v>3</v>
          </cell>
        </row>
        <row r="726">
          <cell r="C726">
            <v>601282322</v>
          </cell>
          <cell r="D726" t="str">
            <v>佐々木　正代　　　　</v>
          </cell>
          <cell r="E726">
            <v>7200000</v>
          </cell>
          <cell r="F726">
            <v>2000000</v>
          </cell>
          <cell r="G726">
            <v>0</v>
          </cell>
          <cell r="H726">
            <v>2000000</v>
          </cell>
          <cell r="I726">
            <v>3</v>
          </cell>
        </row>
        <row r="727">
          <cell r="C727">
            <v>601283525</v>
          </cell>
          <cell r="D727" t="str">
            <v>野沢　今朝夫　　　　</v>
          </cell>
          <cell r="E727">
            <v>4407500</v>
          </cell>
          <cell r="F727">
            <v>1000000</v>
          </cell>
          <cell r="G727">
            <v>0</v>
          </cell>
          <cell r="H727">
            <v>1000000</v>
          </cell>
          <cell r="I727">
            <v>3</v>
          </cell>
        </row>
        <row r="728">
          <cell r="C728">
            <v>601766443</v>
          </cell>
          <cell r="D728" t="str">
            <v>林　國男　　　　　　</v>
          </cell>
          <cell r="E728">
            <v>19800000</v>
          </cell>
          <cell r="F728">
            <v>19000000</v>
          </cell>
          <cell r="G728">
            <v>0</v>
          </cell>
          <cell r="H728">
            <v>19000000</v>
          </cell>
          <cell r="I728">
            <v>4</v>
          </cell>
        </row>
        <row r="729">
          <cell r="C729">
            <v>601795215</v>
          </cell>
          <cell r="D729" t="str">
            <v>近藤　菖勇　　　　　</v>
          </cell>
          <cell r="E729">
            <v>6533142</v>
          </cell>
          <cell r="F729">
            <v>6000000</v>
          </cell>
          <cell r="G729">
            <v>0</v>
          </cell>
          <cell r="H729">
            <v>6000000</v>
          </cell>
          <cell r="I729">
            <v>4</v>
          </cell>
        </row>
        <row r="730">
          <cell r="C730">
            <v>601812079</v>
          </cell>
          <cell r="D730" t="str">
            <v>有・ホテルフキハラ　</v>
          </cell>
          <cell r="E730">
            <v>230740000</v>
          </cell>
          <cell r="F730">
            <v>41000000</v>
          </cell>
          <cell r="G730">
            <v>0</v>
          </cell>
          <cell r="H730">
            <v>41000000</v>
          </cell>
          <cell r="I730">
            <v>3</v>
          </cell>
        </row>
        <row r="731">
          <cell r="C731">
            <v>601142543</v>
          </cell>
          <cell r="D731" t="str">
            <v>株・バンブー　　　　</v>
          </cell>
          <cell r="E731">
            <v>151231126</v>
          </cell>
          <cell r="F731">
            <v>12000000</v>
          </cell>
          <cell r="G731">
            <v>0</v>
          </cell>
          <cell r="H731">
            <v>12000000</v>
          </cell>
          <cell r="I731">
            <v>3</v>
          </cell>
        </row>
        <row r="732">
          <cell r="C732">
            <v>601288944</v>
          </cell>
          <cell r="D732" t="str">
            <v>有・東邦機工　　　　</v>
          </cell>
          <cell r="E732">
            <v>4000000</v>
          </cell>
          <cell r="F732">
            <v>4000000</v>
          </cell>
          <cell r="G732">
            <v>0</v>
          </cell>
          <cell r="H732">
            <v>4000000</v>
          </cell>
          <cell r="I732">
            <v>5</v>
          </cell>
        </row>
        <row r="733">
          <cell r="C733">
            <v>601289865</v>
          </cell>
          <cell r="D733" t="str">
            <v>マゴメアロイ・株　　</v>
          </cell>
          <cell r="E733">
            <v>1842000</v>
          </cell>
          <cell r="F733">
            <v>1000000</v>
          </cell>
          <cell r="G733">
            <v>0</v>
          </cell>
          <cell r="H733">
            <v>1000000</v>
          </cell>
          <cell r="I733">
            <v>4</v>
          </cell>
        </row>
        <row r="734">
          <cell r="C734">
            <v>602849578</v>
          </cell>
          <cell r="D734" t="str">
            <v>有・エフオ－システム</v>
          </cell>
          <cell r="E734">
            <v>29490000</v>
          </cell>
          <cell r="F734">
            <v>4000000</v>
          </cell>
          <cell r="G734" t="str">
            <v/>
          </cell>
          <cell r="H734" t="e">
            <v>#VALUE!</v>
          </cell>
          <cell r="I734">
            <v>3</v>
          </cell>
        </row>
        <row r="735">
          <cell r="C735">
            <v>601306794</v>
          </cell>
          <cell r="D735" t="str">
            <v>山浦　貞男　　　　　</v>
          </cell>
          <cell r="E735">
            <v>17951872</v>
          </cell>
          <cell r="F735">
            <v>3000000</v>
          </cell>
          <cell r="G735">
            <v>0</v>
          </cell>
          <cell r="H735">
            <v>3000000</v>
          </cell>
          <cell r="I735">
            <v>4</v>
          </cell>
        </row>
        <row r="736">
          <cell r="C736">
            <v>601312541</v>
          </cell>
          <cell r="D736" t="str">
            <v>有・タナカ　　　　　</v>
          </cell>
          <cell r="E736">
            <v>60736146</v>
          </cell>
          <cell r="F736">
            <v>13000000</v>
          </cell>
          <cell r="G736">
            <v>0</v>
          </cell>
          <cell r="H736">
            <v>13000000</v>
          </cell>
          <cell r="I736">
            <v>4</v>
          </cell>
        </row>
        <row r="737">
          <cell r="C737">
            <v>601316365</v>
          </cell>
          <cell r="D737" t="str">
            <v>田中　国光　　　　　</v>
          </cell>
          <cell r="E737">
            <v>21372171</v>
          </cell>
          <cell r="F737">
            <v>21000000</v>
          </cell>
          <cell r="G737">
            <v>0</v>
          </cell>
          <cell r="H737">
            <v>21000000</v>
          </cell>
          <cell r="I737">
            <v>4</v>
          </cell>
        </row>
        <row r="738">
          <cell r="C738">
            <v>601317611</v>
          </cell>
          <cell r="D738" t="str">
            <v>大蔵　満　　　　　　</v>
          </cell>
          <cell r="E738">
            <v>10352591</v>
          </cell>
          <cell r="F738">
            <v>3000000</v>
          </cell>
          <cell r="G738">
            <v>0</v>
          </cell>
          <cell r="H738">
            <v>3000000</v>
          </cell>
          <cell r="I738">
            <v>4</v>
          </cell>
        </row>
        <row r="739">
          <cell r="C739">
            <v>601318750</v>
          </cell>
          <cell r="D739" t="str">
            <v>資・丸久酒店　　　　</v>
          </cell>
          <cell r="E739">
            <v>6790000</v>
          </cell>
          <cell r="F739">
            <v>4000000</v>
          </cell>
          <cell r="G739">
            <v>0</v>
          </cell>
          <cell r="H739">
            <v>4000000</v>
          </cell>
          <cell r="I739">
            <v>3</v>
          </cell>
        </row>
        <row r="740">
          <cell r="C740">
            <v>602318207</v>
          </cell>
          <cell r="D740" t="str">
            <v>信州システム・株　　</v>
          </cell>
          <cell r="E740">
            <v>3056589</v>
          </cell>
          <cell r="F740">
            <v>2000000</v>
          </cell>
          <cell r="G740">
            <v>0</v>
          </cell>
          <cell r="H740">
            <v>2000000</v>
          </cell>
          <cell r="I740">
            <v>4</v>
          </cell>
        </row>
        <row r="741">
          <cell r="C741">
            <v>602643592</v>
          </cell>
          <cell r="D741" t="str">
            <v>伊藤　健　　　　　　</v>
          </cell>
          <cell r="E741">
            <v>49091355</v>
          </cell>
          <cell r="F741">
            <v>4000000</v>
          </cell>
          <cell r="G741">
            <v>0</v>
          </cell>
          <cell r="H741">
            <v>4000000</v>
          </cell>
          <cell r="I741">
            <v>3</v>
          </cell>
        </row>
        <row r="742">
          <cell r="C742">
            <v>603236086</v>
          </cell>
          <cell r="D742" t="str">
            <v>エスワン商事・有　　</v>
          </cell>
          <cell r="E742">
            <v>27216634</v>
          </cell>
          <cell r="F742">
            <v>0</v>
          </cell>
          <cell r="G742">
            <v>0</v>
          </cell>
          <cell r="H742">
            <v>0</v>
          </cell>
          <cell r="I742">
            <v>3</v>
          </cell>
        </row>
        <row r="743">
          <cell r="C743">
            <v>601332021</v>
          </cell>
          <cell r="D743" t="str">
            <v>小池　守　　　　　　</v>
          </cell>
          <cell r="E743">
            <v>1374166</v>
          </cell>
          <cell r="F743">
            <v>1000000</v>
          </cell>
          <cell r="G743">
            <v>0</v>
          </cell>
          <cell r="H743">
            <v>1000000</v>
          </cell>
          <cell r="I743">
            <v>4</v>
          </cell>
        </row>
        <row r="744">
          <cell r="C744">
            <v>601333539</v>
          </cell>
          <cell r="D744" t="str">
            <v>小林　和美　　　　　</v>
          </cell>
          <cell r="E744">
            <v>1510000</v>
          </cell>
          <cell r="F744">
            <v>1000000</v>
          </cell>
          <cell r="G744">
            <v>0</v>
          </cell>
          <cell r="H744">
            <v>1000000</v>
          </cell>
          <cell r="I744">
            <v>3</v>
          </cell>
        </row>
        <row r="745">
          <cell r="C745">
            <v>601336867</v>
          </cell>
          <cell r="D745" t="str">
            <v>橋本　雅弘　　　　　</v>
          </cell>
          <cell r="E745">
            <v>7394968</v>
          </cell>
          <cell r="F745">
            <v>1000000</v>
          </cell>
          <cell r="G745">
            <v>0</v>
          </cell>
          <cell r="H745">
            <v>1000000</v>
          </cell>
          <cell r="I745">
            <v>3</v>
          </cell>
        </row>
        <row r="746">
          <cell r="C746">
            <v>602014668</v>
          </cell>
          <cell r="D746" t="str">
            <v>北原　稔　　　　　　</v>
          </cell>
          <cell r="E746">
            <v>1789500</v>
          </cell>
          <cell r="F746">
            <v>1000000</v>
          </cell>
          <cell r="G746">
            <v>0</v>
          </cell>
          <cell r="H746">
            <v>1000000</v>
          </cell>
          <cell r="I746">
            <v>4</v>
          </cell>
        </row>
        <row r="747">
          <cell r="C747">
            <v>602101000</v>
          </cell>
          <cell r="D747" t="str">
            <v>北原　多寿子　　　　</v>
          </cell>
          <cell r="E747">
            <v>2066708</v>
          </cell>
          <cell r="F747">
            <v>1033354</v>
          </cell>
          <cell r="G747">
            <v>1033354</v>
          </cell>
          <cell r="H747">
            <v>2066708</v>
          </cell>
          <cell r="I747">
            <v>5</v>
          </cell>
        </row>
        <row r="748">
          <cell r="C748">
            <v>602245125</v>
          </cell>
          <cell r="D748" t="str">
            <v>株・地域開発　　　　</v>
          </cell>
          <cell r="E748">
            <v>71595925</v>
          </cell>
          <cell r="F748">
            <v>8000000</v>
          </cell>
          <cell r="G748">
            <v>0</v>
          </cell>
          <cell r="H748">
            <v>8000000</v>
          </cell>
          <cell r="I748">
            <v>3</v>
          </cell>
        </row>
        <row r="749">
          <cell r="C749">
            <v>602741242</v>
          </cell>
          <cell r="D749" t="str">
            <v>有・たけだ　　　　　</v>
          </cell>
          <cell r="E749">
            <v>13380000</v>
          </cell>
          <cell r="F749">
            <v>7000000</v>
          </cell>
          <cell r="G749">
            <v>0</v>
          </cell>
          <cell r="H749">
            <v>7000000</v>
          </cell>
          <cell r="I749">
            <v>3</v>
          </cell>
        </row>
        <row r="750">
          <cell r="C750">
            <v>603124192</v>
          </cell>
          <cell r="D750" t="str">
            <v>松浦　孝道　　　　　</v>
          </cell>
          <cell r="E750">
            <v>12563000</v>
          </cell>
          <cell r="F750">
            <v>4000000</v>
          </cell>
          <cell r="G750">
            <v>0</v>
          </cell>
          <cell r="H750">
            <v>4000000</v>
          </cell>
          <cell r="I750">
            <v>4</v>
          </cell>
        </row>
        <row r="751">
          <cell r="C751">
            <v>603187091</v>
          </cell>
          <cell r="D751" t="str">
            <v>有・かねまつ　　　　</v>
          </cell>
          <cell r="E751">
            <v>16138000</v>
          </cell>
          <cell r="F751">
            <v>7000000</v>
          </cell>
          <cell r="G751">
            <v>0</v>
          </cell>
          <cell r="H751">
            <v>7000000</v>
          </cell>
          <cell r="I751">
            <v>4</v>
          </cell>
        </row>
        <row r="752">
          <cell r="C752">
            <v>601340958</v>
          </cell>
          <cell r="D752" t="str">
            <v>有・矢島書店　　　　</v>
          </cell>
          <cell r="E752">
            <v>12561798</v>
          </cell>
          <cell r="F752">
            <v>7533399</v>
          </cell>
          <cell r="G752">
            <v>5028399</v>
          </cell>
          <cell r="H752">
            <v>12561798</v>
          </cell>
          <cell r="I752">
            <v>5</v>
          </cell>
        </row>
        <row r="753">
          <cell r="C753">
            <v>601342398</v>
          </cell>
          <cell r="D753" t="str">
            <v>中島　清　　　　　　</v>
          </cell>
          <cell r="E753">
            <v>3245814</v>
          </cell>
          <cell r="F753">
            <v>3000000</v>
          </cell>
          <cell r="G753">
            <v>0</v>
          </cell>
          <cell r="H753">
            <v>3000000</v>
          </cell>
          <cell r="I753">
            <v>4</v>
          </cell>
        </row>
        <row r="754">
          <cell r="C754">
            <v>602033783</v>
          </cell>
          <cell r="D754" t="str">
            <v>有・森田建設　　　　</v>
          </cell>
          <cell r="E754">
            <v>34951000</v>
          </cell>
          <cell r="F754">
            <v>2000000</v>
          </cell>
          <cell r="G754">
            <v>0</v>
          </cell>
          <cell r="H754">
            <v>2000000</v>
          </cell>
          <cell r="I754">
            <v>3</v>
          </cell>
        </row>
        <row r="755">
          <cell r="C755">
            <v>601349113</v>
          </cell>
          <cell r="D755" t="str">
            <v>有・金太亀源商店　　</v>
          </cell>
          <cell r="E755">
            <v>35597575</v>
          </cell>
          <cell r="F755">
            <v>17798788</v>
          </cell>
          <cell r="G755">
            <v>17798787</v>
          </cell>
          <cell r="H755">
            <v>35597575</v>
          </cell>
          <cell r="I755">
            <v>5</v>
          </cell>
        </row>
        <row r="756">
          <cell r="C756">
            <v>601349353</v>
          </cell>
          <cell r="D756" t="str">
            <v>資・三栄田中商店　　</v>
          </cell>
          <cell r="E756">
            <v>47520000</v>
          </cell>
          <cell r="F756">
            <v>9000000</v>
          </cell>
          <cell r="G756" t="str">
            <v/>
          </cell>
          <cell r="H756" t="e">
            <v>#VALUE!</v>
          </cell>
          <cell r="I756">
            <v>3</v>
          </cell>
        </row>
        <row r="757">
          <cell r="C757">
            <v>601349733</v>
          </cell>
          <cell r="D757" t="str">
            <v>株・伊勢喜　　　　　</v>
          </cell>
          <cell r="E757">
            <v>358463231</v>
          </cell>
          <cell r="F757">
            <v>111000000</v>
          </cell>
          <cell r="G757">
            <v>0</v>
          </cell>
          <cell r="H757">
            <v>111000000</v>
          </cell>
          <cell r="I757">
            <v>3</v>
          </cell>
        </row>
        <row r="758">
          <cell r="C758">
            <v>601351266</v>
          </cell>
          <cell r="D758" t="str">
            <v>中央ニット産業・株　</v>
          </cell>
          <cell r="E758">
            <v>33500000</v>
          </cell>
          <cell r="F758">
            <v>33000000</v>
          </cell>
          <cell r="G758">
            <v>0</v>
          </cell>
          <cell r="H758">
            <v>33000000</v>
          </cell>
          <cell r="I758">
            <v>5</v>
          </cell>
        </row>
        <row r="759">
          <cell r="C759">
            <v>601351308</v>
          </cell>
          <cell r="D759" t="str">
            <v>有・松の鮨　　　　　</v>
          </cell>
          <cell r="E759">
            <v>47010000</v>
          </cell>
          <cell r="F759">
            <v>4000000</v>
          </cell>
          <cell r="G759">
            <v>0</v>
          </cell>
          <cell r="H759">
            <v>4000000</v>
          </cell>
          <cell r="I759">
            <v>3</v>
          </cell>
        </row>
        <row r="760">
          <cell r="C760">
            <v>601355208</v>
          </cell>
          <cell r="D760" t="str">
            <v>有・ナカヤ　　　　　</v>
          </cell>
          <cell r="E760">
            <v>2650000</v>
          </cell>
          <cell r="F760">
            <v>2000000</v>
          </cell>
          <cell r="G760">
            <v>0</v>
          </cell>
          <cell r="H760">
            <v>2000000</v>
          </cell>
          <cell r="I760">
            <v>3</v>
          </cell>
        </row>
        <row r="761">
          <cell r="C761">
            <v>601361295</v>
          </cell>
          <cell r="D761" t="str">
            <v>下平　鐵郎　　　　　</v>
          </cell>
          <cell r="E761">
            <v>5940000</v>
          </cell>
          <cell r="F761">
            <v>5000000</v>
          </cell>
          <cell r="G761">
            <v>0</v>
          </cell>
          <cell r="H761">
            <v>5000000</v>
          </cell>
          <cell r="I761">
            <v>4</v>
          </cell>
        </row>
        <row r="762">
          <cell r="C762">
            <v>601361653</v>
          </cell>
          <cell r="D762" t="str">
            <v>ミノリ精機・株　　　</v>
          </cell>
          <cell r="E762">
            <v>41410988</v>
          </cell>
          <cell r="F762">
            <v>7000000</v>
          </cell>
          <cell r="G762">
            <v>0</v>
          </cell>
          <cell r="H762">
            <v>7000000</v>
          </cell>
          <cell r="I762">
            <v>4</v>
          </cell>
        </row>
        <row r="763">
          <cell r="C763">
            <v>601362150</v>
          </cell>
          <cell r="D763" t="str">
            <v>株・サンビック　　　</v>
          </cell>
          <cell r="E763">
            <v>256035688</v>
          </cell>
          <cell r="F763">
            <v>88690275</v>
          </cell>
          <cell r="G763">
            <v>88690274</v>
          </cell>
          <cell r="H763">
            <v>177380549</v>
          </cell>
          <cell r="I763">
            <v>5</v>
          </cell>
        </row>
        <row r="764">
          <cell r="C764">
            <v>602349268</v>
          </cell>
          <cell r="D764" t="str">
            <v>竹上　正夫　　　　　</v>
          </cell>
          <cell r="E764">
            <v>56754902</v>
          </cell>
          <cell r="F764">
            <v>56000000</v>
          </cell>
          <cell r="G764">
            <v>0</v>
          </cell>
          <cell r="H764">
            <v>56000000</v>
          </cell>
          <cell r="I764">
            <v>4</v>
          </cell>
        </row>
        <row r="765">
          <cell r="C765">
            <v>602542829</v>
          </cell>
          <cell r="D765" t="str">
            <v>有・ウィンダム　　　</v>
          </cell>
          <cell r="E765">
            <v>42147045</v>
          </cell>
          <cell r="F765">
            <v>42000000</v>
          </cell>
          <cell r="G765">
            <v>0</v>
          </cell>
          <cell r="H765">
            <v>42000000</v>
          </cell>
          <cell r="I765">
            <v>4</v>
          </cell>
        </row>
        <row r="766">
          <cell r="C766">
            <v>602892655</v>
          </cell>
          <cell r="D766" t="str">
            <v>有・駒ヶ根観光会館山</v>
          </cell>
          <cell r="E766">
            <v>13880000</v>
          </cell>
          <cell r="F766">
            <v>2000000</v>
          </cell>
          <cell r="G766">
            <v>0</v>
          </cell>
          <cell r="H766">
            <v>2000000</v>
          </cell>
          <cell r="I766">
            <v>3</v>
          </cell>
        </row>
        <row r="767">
          <cell r="C767">
            <v>603647221</v>
          </cell>
          <cell r="D767" t="str">
            <v>株・アイビ－　　　　</v>
          </cell>
          <cell r="E767">
            <v>25851000</v>
          </cell>
          <cell r="F767">
            <v>6000000</v>
          </cell>
          <cell r="G767">
            <v>0</v>
          </cell>
          <cell r="H767">
            <v>6000000</v>
          </cell>
          <cell r="I767">
            <v>3</v>
          </cell>
        </row>
        <row r="768">
          <cell r="C768">
            <v>601839385</v>
          </cell>
          <cell r="D768" t="str">
            <v>寺平　誠　　　　　　</v>
          </cell>
          <cell r="E768">
            <v>1342092</v>
          </cell>
          <cell r="F768">
            <v>1000000</v>
          </cell>
          <cell r="G768" t="str">
            <v/>
          </cell>
          <cell r="H768" t="e">
            <v>#VALUE!</v>
          </cell>
          <cell r="I768">
            <v>3</v>
          </cell>
        </row>
        <row r="769">
          <cell r="C769">
            <v>602769197</v>
          </cell>
          <cell r="D769" t="str">
            <v>林　旭　　　　　　　</v>
          </cell>
          <cell r="E769">
            <v>2116124</v>
          </cell>
          <cell r="F769">
            <v>2000000</v>
          </cell>
          <cell r="G769">
            <v>0</v>
          </cell>
          <cell r="H769">
            <v>2000000</v>
          </cell>
          <cell r="I769">
            <v>4</v>
          </cell>
        </row>
        <row r="770">
          <cell r="C770">
            <v>603368330</v>
          </cell>
          <cell r="D770" t="str">
            <v>土村　浩一　　　　　</v>
          </cell>
          <cell r="E770">
            <v>4708000</v>
          </cell>
          <cell r="F770">
            <v>2000000</v>
          </cell>
          <cell r="G770">
            <v>0</v>
          </cell>
          <cell r="H770">
            <v>2000000</v>
          </cell>
          <cell r="I770">
            <v>4</v>
          </cell>
        </row>
        <row r="771">
          <cell r="C771">
            <v>603427103</v>
          </cell>
          <cell r="D771" t="str">
            <v>株・トミケン　　　　</v>
          </cell>
          <cell r="E771">
            <v>1596669</v>
          </cell>
          <cell r="F771">
            <v>1000000</v>
          </cell>
          <cell r="G771">
            <v>0</v>
          </cell>
          <cell r="H771">
            <v>1000000</v>
          </cell>
          <cell r="I771">
            <v>5</v>
          </cell>
        </row>
        <row r="772">
          <cell r="C772">
            <v>603633630</v>
          </cell>
          <cell r="D772" t="str">
            <v>矢ケ崎　健二　　　　</v>
          </cell>
          <cell r="E772">
            <v>2327139</v>
          </cell>
          <cell r="F772">
            <v>2000000</v>
          </cell>
          <cell r="G772">
            <v>0</v>
          </cell>
          <cell r="H772">
            <v>2000000</v>
          </cell>
          <cell r="I772">
            <v>3</v>
          </cell>
        </row>
        <row r="773">
          <cell r="C773">
            <v>601329057</v>
          </cell>
          <cell r="D773" t="str">
            <v>松島　康道　　　　　</v>
          </cell>
          <cell r="E773">
            <v>6345958</v>
          </cell>
          <cell r="F773">
            <v>2000000</v>
          </cell>
          <cell r="G773">
            <v>0</v>
          </cell>
          <cell r="H773">
            <v>2000000</v>
          </cell>
          <cell r="I773">
            <v>4</v>
          </cell>
        </row>
        <row r="774">
          <cell r="C774">
            <v>602863436</v>
          </cell>
          <cell r="D774" t="str">
            <v>株・万屋　　　　　　</v>
          </cell>
          <cell r="E774">
            <v>31147102</v>
          </cell>
          <cell r="F774">
            <v>11290851</v>
          </cell>
          <cell r="G774">
            <v>11290851</v>
          </cell>
          <cell r="H774">
            <v>22581702</v>
          </cell>
          <cell r="I774">
            <v>5</v>
          </cell>
        </row>
        <row r="775">
          <cell r="C775">
            <v>601381100</v>
          </cell>
          <cell r="D775" t="str">
            <v>宮下　拓男　　　　　</v>
          </cell>
          <cell r="E775">
            <v>11838000</v>
          </cell>
          <cell r="F775">
            <v>2000000</v>
          </cell>
          <cell r="G775">
            <v>0</v>
          </cell>
          <cell r="H775">
            <v>2000000</v>
          </cell>
          <cell r="I775">
            <v>4</v>
          </cell>
        </row>
        <row r="776">
          <cell r="C776">
            <v>601381579</v>
          </cell>
          <cell r="D776" t="str">
            <v>菅　龍一　　　　　　</v>
          </cell>
          <cell r="E776">
            <v>1560316</v>
          </cell>
          <cell r="F776">
            <v>0</v>
          </cell>
          <cell r="G776">
            <v>0</v>
          </cell>
          <cell r="H776">
            <v>0</v>
          </cell>
          <cell r="I776">
            <v>4</v>
          </cell>
        </row>
        <row r="777">
          <cell r="C777">
            <v>601386421</v>
          </cell>
          <cell r="D777" t="str">
            <v>田切　保　　　　　　</v>
          </cell>
          <cell r="E777">
            <v>16860000</v>
          </cell>
          <cell r="F777">
            <v>9000000</v>
          </cell>
          <cell r="G777">
            <v>0</v>
          </cell>
          <cell r="H777">
            <v>9000000</v>
          </cell>
          <cell r="I777">
            <v>4</v>
          </cell>
        </row>
        <row r="778">
          <cell r="C778">
            <v>601391922</v>
          </cell>
          <cell r="D778" t="str">
            <v>株・エコー電子技術　</v>
          </cell>
          <cell r="E778">
            <v>0</v>
          </cell>
          <cell r="F778">
            <v>0</v>
          </cell>
          <cell r="G778">
            <v>0</v>
          </cell>
          <cell r="H778">
            <v>0</v>
          </cell>
          <cell r="I778">
            <v>5</v>
          </cell>
        </row>
        <row r="779">
          <cell r="C779">
            <v>601397382</v>
          </cell>
          <cell r="D779" t="str">
            <v>三晃印刷・株　　　　</v>
          </cell>
          <cell r="E779">
            <v>7400000</v>
          </cell>
          <cell r="F779">
            <v>2000000</v>
          </cell>
          <cell r="G779">
            <v>0</v>
          </cell>
          <cell r="H779">
            <v>2000000</v>
          </cell>
          <cell r="I779">
            <v>4</v>
          </cell>
        </row>
        <row r="780">
          <cell r="C780">
            <v>601399831</v>
          </cell>
          <cell r="D780" t="str">
            <v>小島　裕弘　　　　　</v>
          </cell>
          <cell r="E780">
            <v>78844723</v>
          </cell>
          <cell r="F780">
            <v>18000000</v>
          </cell>
          <cell r="G780">
            <v>0</v>
          </cell>
          <cell r="H780">
            <v>18000000</v>
          </cell>
          <cell r="I780">
            <v>4</v>
          </cell>
        </row>
        <row r="781">
          <cell r="C781">
            <v>601401683</v>
          </cell>
          <cell r="D781" t="str">
            <v>有・松葉材木店　　　</v>
          </cell>
          <cell r="E781">
            <v>27338000</v>
          </cell>
          <cell r="F781">
            <v>2000000</v>
          </cell>
          <cell r="G781">
            <v>0</v>
          </cell>
          <cell r="H781">
            <v>2000000</v>
          </cell>
          <cell r="I781">
            <v>3</v>
          </cell>
        </row>
        <row r="782">
          <cell r="C782">
            <v>601403176</v>
          </cell>
          <cell r="D782" t="str">
            <v>株・コクサイ産業　　</v>
          </cell>
          <cell r="E782">
            <v>986470000</v>
          </cell>
          <cell r="F782">
            <v>383000000</v>
          </cell>
          <cell r="G782" t="str">
            <v/>
          </cell>
          <cell r="H782" t="e">
            <v>#VALUE!</v>
          </cell>
          <cell r="I782">
            <v>3</v>
          </cell>
        </row>
        <row r="783">
          <cell r="C783">
            <v>601403609</v>
          </cell>
          <cell r="D783" t="str">
            <v>有・福本　　　　　　</v>
          </cell>
          <cell r="E783">
            <v>17104000</v>
          </cell>
          <cell r="F783">
            <v>11000000</v>
          </cell>
          <cell r="G783">
            <v>0</v>
          </cell>
          <cell r="H783">
            <v>11000000</v>
          </cell>
          <cell r="I783">
            <v>4</v>
          </cell>
        </row>
        <row r="784">
          <cell r="C784">
            <v>601404466</v>
          </cell>
          <cell r="D784" t="str">
            <v>丸山　久　　　　　　</v>
          </cell>
          <cell r="E784">
            <v>61352818</v>
          </cell>
          <cell r="F784">
            <v>6000000</v>
          </cell>
          <cell r="G784" t="str">
            <v/>
          </cell>
          <cell r="H784" t="e">
            <v>#VALUE!</v>
          </cell>
          <cell r="I784">
            <v>3</v>
          </cell>
        </row>
        <row r="785">
          <cell r="C785">
            <v>601404531</v>
          </cell>
          <cell r="D785" t="str">
            <v>飯田恒産・有　　　　</v>
          </cell>
          <cell r="E785">
            <v>24990792</v>
          </cell>
          <cell r="F785">
            <v>10000000</v>
          </cell>
          <cell r="G785">
            <v>0</v>
          </cell>
          <cell r="H785">
            <v>10000000</v>
          </cell>
          <cell r="I785">
            <v>4</v>
          </cell>
        </row>
        <row r="786">
          <cell r="C786">
            <v>601405430</v>
          </cell>
          <cell r="D786" t="str">
            <v>中央キャブテレビ・株</v>
          </cell>
          <cell r="E786">
            <v>4057000</v>
          </cell>
          <cell r="F786">
            <v>3000000</v>
          </cell>
          <cell r="G786">
            <v>0</v>
          </cell>
          <cell r="H786">
            <v>3000000</v>
          </cell>
          <cell r="I786">
            <v>4</v>
          </cell>
        </row>
        <row r="787">
          <cell r="C787">
            <v>601419032</v>
          </cell>
          <cell r="D787" t="str">
            <v>株・ジャステック　　</v>
          </cell>
          <cell r="E787">
            <v>1046307000</v>
          </cell>
          <cell r="F787">
            <v>585000000</v>
          </cell>
          <cell r="G787" t="str">
            <v/>
          </cell>
          <cell r="H787" t="e">
            <v>#VALUE!</v>
          </cell>
          <cell r="I787">
            <v>3</v>
          </cell>
        </row>
        <row r="788">
          <cell r="C788">
            <v>601468839</v>
          </cell>
          <cell r="D788" t="str">
            <v>片桐　斉　　　　　　</v>
          </cell>
          <cell r="E788">
            <v>16552000</v>
          </cell>
          <cell r="F788">
            <v>1000000</v>
          </cell>
          <cell r="G788">
            <v>0</v>
          </cell>
          <cell r="H788">
            <v>1000000</v>
          </cell>
          <cell r="I788">
            <v>3</v>
          </cell>
        </row>
        <row r="789">
          <cell r="C789">
            <v>601798772</v>
          </cell>
          <cell r="D789" t="str">
            <v>株・西元工務店　　　</v>
          </cell>
          <cell r="E789">
            <v>20807982</v>
          </cell>
          <cell r="F789">
            <v>10403991</v>
          </cell>
          <cell r="G789">
            <v>10403991</v>
          </cell>
          <cell r="H789">
            <v>20807982</v>
          </cell>
          <cell r="I789">
            <v>5</v>
          </cell>
        </row>
        <row r="790">
          <cell r="C790">
            <v>602828742</v>
          </cell>
          <cell r="D790" t="str">
            <v>有・トライ．ミ－　　</v>
          </cell>
          <cell r="E790">
            <v>7594000</v>
          </cell>
          <cell r="F790">
            <v>2000000</v>
          </cell>
          <cell r="G790">
            <v>0</v>
          </cell>
          <cell r="H790">
            <v>2000000</v>
          </cell>
          <cell r="I790">
            <v>3</v>
          </cell>
        </row>
        <row r="791">
          <cell r="C791">
            <v>603178732</v>
          </cell>
          <cell r="D791" t="str">
            <v>中央高速印刷・株　　</v>
          </cell>
          <cell r="E791">
            <v>998221932</v>
          </cell>
          <cell r="F791">
            <v>208000000</v>
          </cell>
          <cell r="G791">
            <v>0</v>
          </cell>
          <cell r="H791">
            <v>208000000</v>
          </cell>
          <cell r="I791">
            <v>3</v>
          </cell>
        </row>
        <row r="792">
          <cell r="C792">
            <v>603253009</v>
          </cell>
          <cell r="D792" t="str">
            <v>有・小西製あん所　　</v>
          </cell>
          <cell r="E792">
            <v>20920000</v>
          </cell>
          <cell r="F792">
            <v>13000000</v>
          </cell>
          <cell r="G792" t="str">
            <v/>
          </cell>
          <cell r="H792" t="e">
            <v>#VALUE!</v>
          </cell>
          <cell r="I792">
            <v>3</v>
          </cell>
        </row>
        <row r="793">
          <cell r="C793">
            <v>603289370</v>
          </cell>
          <cell r="D793" t="str">
            <v>信州テーマ開発・株　</v>
          </cell>
          <cell r="E793">
            <v>525000000</v>
          </cell>
          <cell r="F793">
            <v>342000000</v>
          </cell>
          <cell r="G793">
            <v>0</v>
          </cell>
          <cell r="H793">
            <v>342000000</v>
          </cell>
          <cell r="I793">
            <v>3</v>
          </cell>
        </row>
        <row r="794">
          <cell r="C794">
            <v>603406604</v>
          </cell>
          <cell r="D794" t="str">
            <v>有限会社ソクセン</v>
          </cell>
          <cell r="E794">
            <v>11213000</v>
          </cell>
          <cell r="F794">
            <v>2000000</v>
          </cell>
          <cell r="G794" t="str">
            <v/>
          </cell>
          <cell r="H794" t="e">
            <v>#VALUE!</v>
          </cell>
          <cell r="I794">
            <v>3</v>
          </cell>
        </row>
        <row r="795">
          <cell r="C795">
            <v>603521193</v>
          </cell>
          <cell r="D795" t="str">
            <v>有・小林組　　　　　</v>
          </cell>
          <cell r="E795">
            <v>38477687</v>
          </cell>
          <cell r="F795">
            <v>18570344</v>
          </cell>
          <cell r="G795">
            <v>17148343</v>
          </cell>
          <cell r="H795">
            <v>35718687</v>
          </cell>
          <cell r="I795">
            <v>5</v>
          </cell>
        </row>
        <row r="796">
          <cell r="C796">
            <v>601413889</v>
          </cell>
          <cell r="D796" t="str">
            <v>有・前澤酒店　　　　</v>
          </cell>
          <cell r="E796">
            <v>11730000</v>
          </cell>
          <cell r="F796">
            <v>0</v>
          </cell>
          <cell r="G796">
            <v>0</v>
          </cell>
          <cell r="H796">
            <v>0</v>
          </cell>
          <cell r="I796">
            <v>4</v>
          </cell>
        </row>
        <row r="797">
          <cell r="C797">
            <v>601414560</v>
          </cell>
          <cell r="D797" t="str">
            <v>松田　秀隆　　　　　</v>
          </cell>
          <cell r="E797">
            <v>23110000</v>
          </cell>
          <cell r="F797">
            <v>7000000</v>
          </cell>
          <cell r="G797">
            <v>0</v>
          </cell>
          <cell r="H797">
            <v>7000000</v>
          </cell>
          <cell r="I797">
            <v>4</v>
          </cell>
        </row>
        <row r="798">
          <cell r="C798">
            <v>601425694</v>
          </cell>
          <cell r="D798" t="str">
            <v>有・まると　　　　　</v>
          </cell>
          <cell r="E798">
            <v>8974400</v>
          </cell>
          <cell r="F798">
            <v>1000000</v>
          </cell>
          <cell r="G798">
            <v>0</v>
          </cell>
          <cell r="H798">
            <v>1000000</v>
          </cell>
          <cell r="I798">
            <v>3</v>
          </cell>
        </row>
        <row r="799">
          <cell r="C799">
            <v>603562454</v>
          </cell>
          <cell r="D799" t="str">
            <v>登喜臣・有　　　　　</v>
          </cell>
          <cell r="E799">
            <v>13990000</v>
          </cell>
          <cell r="F799">
            <v>4000000</v>
          </cell>
          <cell r="G799">
            <v>0</v>
          </cell>
          <cell r="H799">
            <v>4000000</v>
          </cell>
          <cell r="I799">
            <v>3</v>
          </cell>
        </row>
        <row r="800">
          <cell r="C800">
            <v>601428293</v>
          </cell>
          <cell r="D800" t="str">
            <v>中田製糸・株　　　　</v>
          </cell>
          <cell r="E800">
            <v>149594000</v>
          </cell>
          <cell r="F800">
            <v>0</v>
          </cell>
          <cell r="G800">
            <v>0</v>
          </cell>
          <cell r="H800">
            <v>0</v>
          </cell>
          <cell r="I800">
            <v>3</v>
          </cell>
        </row>
        <row r="801">
          <cell r="C801">
            <v>601428519</v>
          </cell>
          <cell r="D801" t="str">
            <v>株・辻テント商店　　</v>
          </cell>
          <cell r="E801">
            <v>14120000</v>
          </cell>
          <cell r="F801">
            <v>4000000</v>
          </cell>
          <cell r="G801">
            <v>0</v>
          </cell>
          <cell r="H801">
            <v>4000000</v>
          </cell>
          <cell r="I801">
            <v>3</v>
          </cell>
        </row>
        <row r="802">
          <cell r="C802">
            <v>601432633</v>
          </cell>
          <cell r="D802" t="str">
            <v>有・幾久屋　　　　　</v>
          </cell>
          <cell r="E802">
            <v>0</v>
          </cell>
          <cell r="F802">
            <v>0</v>
          </cell>
          <cell r="G802">
            <v>0</v>
          </cell>
          <cell r="H802">
            <v>0</v>
          </cell>
          <cell r="I802" t="str">
            <v/>
          </cell>
        </row>
        <row r="803">
          <cell r="C803">
            <v>602177819</v>
          </cell>
          <cell r="D803" t="str">
            <v>有・アバカス　　　　</v>
          </cell>
          <cell r="E803">
            <v>21665763</v>
          </cell>
          <cell r="F803">
            <v>8894137</v>
          </cell>
          <cell r="G803">
            <v>8894137</v>
          </cell>
          <cell r="H803">
            <v>17788274</v>
          </cell>
          <cell r="I803">
            <v>5</v>
          </cell>
        </row>
        <row r="804">
          <cell r="C804">
            <v>601438668</v>
          </cell>
          <cell r="D804" t="str">
            <v>佐々木水引工業・株　</v>
          </cell>
          <cell r="E804">
            <v>296177519</v>
          </cell>
          <cell r="F804">
            <v>22000000</v>
          </cell>
          <cell r="G804">
            <v>0</v>
          </cell>
          <cell r="H804">
            <v>22000000</v>
          </cell>
          <cell r="I804">
            <v>3</v>
          </cell>
        </row>
        <row r="805">
          <cell r="C805">
            <v>601441207</v>
          </cell>
          <cell r="D805" t="str">
            <v>小林　斉　　　　　　</v>
          </cell>
          <cell r="E805">
            <v>0</v>
          </cell>
          <cell r="F805">
            <v>13000000</v>
          </cell>
          <cell r="G805">
            <v>0</v>
          </cell>
          <cell r="H805">
            <v>13000000</v>
          </cell>
          <cell r="I805">
            <v>4</v>
          </cell>
        </row>
        <row r="806">
          <cell r="C806">
            <v>601442195</v>
          </cell>
          <cell r="D806" t="str">
            <v>竜丘総合建設・株　　</v>
          </cell>
          <cell r="E806">
            <v>8950000</v>
          </cell>
          <cell r="F806">
            <v>4475000</v>
          </cell>
          <cell r="G806">
            <v>4475000</v>
          </cell>
          <cell r="H806">
            <v>8950000</v>
          </cell>
          <cell r="I806">
            <v>5</v>
          </cell>
        </row>
        <row r="807">
          <cell r="C807">
            <v>601442715</v>
          </cell>
          <cell r="D807" t="str">
            <v>松川　芳典　　　　　</v>
          </cell>
          <cell r="E807">
            <v>12758239</v>
          </cell>
          <cell r="F807">
            <v>6000000</v>
          </cell>
          <cell r="G807">
            <v>0</v>
          </cell>
          <cell r="H807">
            <v>6000000</v>
          </cell>
          <cell r="I807">
            <v>4</v>
          </cell>
        </row>
        <row r="808">
          <cell r="C808">
            <v>601447547</v>
          </cell>
          <cell r="D808" t="str">
            <v>有・飯田観光ホテルよ</v>
          </cell>
          <cell r="E808">
            <v>825393000</v>
          </cell>
          <cell r="F808">
            <v>298000000</v>
          </cell>
          <cell r="G808" t="str">
            <v/>
          </cell>
          <cell r="H808" t="e">
            <v>#VALUE!</v>
          </cell>
          <cell r="I808">
            <v>3</v>
          </cell>
        </row>
        <row r="809">
          <cell r="C809">
            <v>601419738</v>
          </cell>
          <cell r="D809" t="str">
            <v>大島　和志　　　　　</v>
          </cell>
          <cell r="E809">
            <v>27470000</v>
          </cell>
          <cell r="F809">
            <v>27000000</v>
          </cell>
          <cell r="G809">
            <v>0</v>
          </cell>
          <cell r="H809">
            <v>27000000</v>
          </cell>
          <cell r="I809">
            <v>4</v>
          </cell>
        </row>
        <row r="810">
          <cell r="C810">
            <v>601451976</v>
          </cell>
          <cell r="D810" t="str">
            <v>小木曽　俊之　　　　</v>
          </cell>
          <cell r="E810">
            <v>13430000</v>
          </cell>
          <cell r="F810">
            <v>4000000</v>
          </cell>
          <cell r="G810">
            <v>0</v>
          </cell>
          <cell r="H810">
            <v>4000000</v>
          </cell>
          <cell r="I810">
            <v>3</v>
          </cell>
        </row>
        <row r="811">
          <cell r="C811">
            <v>601456633</v>
          </cell>
          <cell r="D811" t="str">
            <v>有・城甫志　　　　　</v>
          </cell>
          <cell r="E811">
            <v>4700000</v>
          </cell>
          <cell r="F811">
            <v>3000000</v>
          </cell>
          <cell r="G811" t="str">
            <v/>
          </cell>
          <cell r="H811" t="e">
            <v>#VALUE!</v>
          </cell>
          <cell r="I811">
            <v>3</v>
          </cell>
        </row>
        <row r="812">
          <cell r="C812">
            <v>601456644</v>
          </cell>
          <cell r="D812" t="str">
            <v>鶯巣　操　　　　　　</v>
          </cell>
          <cell r="E812">
            <v>1951227</v>
          </cell>
          <cell r="F812">
            <v>1000000</v>
          </cell>
          <cell r="G812">
            <v>0</v>
          </cell>
          <cell r="H812">
            <v>1000000</v>
          </cell>
          <cell r="I812">
            <v>3</v>
          </cell>
        </row>
        <row r="813">
          <cell r="C813">
            <v>601457912</v>
          </cell>
          <cell r="D813" t="str">
            <v>吉川　精市　　　　　</v>
          </cell>
          <cell r="E813">
            <v>72483500</v>
          </cell>
          <cell r="F813">
            <v>0</v>
          </cell>
          <cell r="G813">
            <v>0</v>
          </cell>
          <cell r="H813">
            <v>0</v>
          </cell>
          <cell r="I813">
            <v>3</v>
          </cell>
        </row>
        <row r="814">
          <cell r="C814">
            <v>601461927</v>
          </cell>
          <cell r="D814" t="str">
            <v>有・木下工務店　　　</v>
          </cell>
          <cell r="E814">
            <v>16648000</v>
          </cell>
          <cell r="F814">
            <v>6000000</v>
          </cell>
          <cell r="G814">
            <v>0</v>
          </cell>
          <cell r="H814">
            <v>6000000</v>
          </cell>
          <cell r="I814">
            <v>3</v>
          </cell>
        </row>
        <row r="815">
          <cell r="C815">
            <v>601463507</v>
          </cell>
          <cell r="D815" t="str">
            <v>飯田チップ・有　　　</v>
          </cell>
          <cell r="E815">
            <v>6942000</v>
          </cell>
          <cell r="F815">
            <v>6000000</v>
          </cell>
          <cell r="G815">
            <v>0</v>
          </cell>
          <cell r="H815">
            <v>6000000</v>
          </cell>
          <cell r="I815">
            <v>4</v>
          </cell>
        </row>
        <row r="816">
          <cell r="C816">
            <v>601463909</v>
          </cell>
          <cell r="D816" t="str">
            <v>羽生　正四　　　　　</v>
          </cell>
          <cell r="E816">
            <v>11978000</v>
          </cell>
          <cell r="F816">
            <v>6000000</v>
          </cell>
          <cell r="G816">
            <v>0</v>
          </cell>
          <cell r="H816">
            <v>6000000</v>
          </cell>
          <cell r="I816">
            <v>3</v>
          </cell>
        </row>
        <row r="817">
          <cell r="C817">
            <v>602959837</v>
          </cell>
          <cell r="D817" t="str">
            <v>有・モ－ビルクリ－ン</v>
          </cell>
          <cell r="E817">
            <v>2850000</v>
          </cell>
          <cell r="F817">
            <v>2000000</v>
          </cell>
          <cell r="G817">
            <v>0</v>
          </cell>
          <cell r="H817">
            <v>2000000</v>
          </cell>
          <cell r="I817">
            <v>3</v>
          </cell>
        </row>
        <row r="818">
          <cell r="C818">
            <v>603199731</v>
          </cell>
          <cell r="D818" t="str">
            <v>有・コラソン　　　　</v>
          </cell>
          <cell r="E818">
            <v>68008800</v>
          </cell>
          <cell r="F818">
            <v>6000000</v>
          </cell>
          <cell r="G818">
            <v>0</v>
          </cell>
          <cell r="H818">
            <v>6000000</v>
          </cell>
          <cell r="I818">
            <v>3</v>
          </cell>
        </row>
        <row r="819">
          <cell r="C819">
            <v>603244664</v>
          </cell>
          <cell r="D819" t="str">
            <v>丸山　幸雄　　　　　</v>
          </cell>
          <cell r="E819">
            <v>3065000</v>
          </cell>
          <cell r="F819">
            <v>2000000</v>
          </cell>
          <cell r="G819" t="str">
            <v/>
          </cell>
          <cell r="H819" t="e">
            <v>#VALUE!</v>
          </cell>
          <cell r="I819">
            <v>3</v>
          </cell>
        </row>
        <row r="820">
          <cell r="C820">
            <v>603352789</v>
          </cell>
          <cell r="D820" t="str">
            <v>有・マルヤマ　　　　</v>
          </cell>
          <cell r="E820">
            <v>8250000</v>
          </cell>
          <cell r="F820">
            <v>6000000</v>
          </cell>
          <cell r="G820">
            <v>0</v>
          </cell>
          <cell r="H820">
            <v>6000000</v>
          </cell>
          <cell r="I820">
            <v>3</v>
          </cell>
        </row>
        <row r="821">
          <cell r="C821">
            <v>603435507</v>
          </cell>
          <cell r="D821" t="str">
            <v>中田　義人　　　　　</v>
          </cell>
          <cell r="E821">
            <v>1181863</v>
          </cell>
          <cell r="F821">
            <v>1000000</v>
          </cell>
          <cell r="G821">
            <v>0</v>
          </cell>
          <cell r="H821">
            <v>1000000</v>
          </cell>
          <cell r="I821">
            <v>4</v>
          </cell>
        </row>
        <row r="822">
          <cell r="C822">
            <v>603435518</v>
          </cell>
          <cell r="D822" t="str">
            <v>下平　団治　　　　　</v>
          </cell>
          <cell r="E822">
            <v>2110610</v>
          </cell>
          <cell r="F822">
            <v>2000000</v>
          </cell>
          <cell r="G822">
            <v>0</v>
          </cell>
          <cell r="H822">
            <v>2000000</v>
          </cell>
          <cell r="I822">
            <v>4</v>
          </cell>
        </row>
        <row r="823">
          <cell r="C823">
            <v>601474686</v>
          </cell>
          <cell r="D823" t="str">
            <v>株・ホクシン　　　　</v>
          </cell>
          <cell r="E823">
            <v>38796977</v>
          </cell>
          <cell r="F823">
            <v>9000000</v>
          </cell>
          <cell r="G823">
            <v>0</v>
          </cell>
          <cell r="H823">
            <v>9000000</v>
          </cell>
          <cell r="I823">
            <v>3</v>
          </cell>
        </row>
        <row r="824">
          <cell r="C824">
            <v>601930178</v>
          </cell>
          <cell r="D824" t="str">
            <v>六本木産業・有　　　</v>
          </cell>
          <cell r="E824">
            <v>23910000</v>
          </cell>
          <cell r="F824">
            <v>21000000</v>
          </cell>
          <cell r="G824">
            <v>0</v>
          </cell>
          <cell r="H824">
            <v>21000000</v>
          </cell>
          <cell r="I824">
            <v>4</v>
          </cell>
        </row>
        <row r="825">
          <cell r="C825">
            <v>601478139</v>
          </cell>
          <cell r="D825" t="str">
            <v>大倉事業・株　　　　</v>
          </cell>
          <cell r="E825">
            <v>496755406</v>
          </cell>
          <cell r="F825">
            <v>496000000</v>
          </cell>
          <cell r="G825">
            <v>0</v>
          </cell>
          <cell r="H825">
            <v>496000000</v>
          </cell>
          <cell r="I825">
            <v>4</v>
          </cell>
        </row>
        <row r="826">
          <cell r="C826">
            <v>601478204</v>
          </cell>
          <cell r="D826" t="str">
            <v>興国鋼線索・株　　　</v>
          </cell>
          <cell r="E826">
            <v>24073245</v>
          </cell>
          <cell r="F826">
            <v>0</v>
          </cell>
          <cell r="G826">
            <v>16477245</v>
          </cell>
          <cell r="H826">
            <v>16477245</v>
          </cell>
          <cell r="I826">
            <v>5</v>
          </cell>
        </row>
        <row r="827">
          <cell r="C827">
            <v>601480368</v>
          </cell>
          <cell r="D827" t="str">
            <v>信明実業・株　　　　</v>
          </cell>
          <cell r="E827">
            <v>60000000</v>
          </cell>
          <cell r="F827">
            <v>44000000</v>
          </cell>
          <cell r="G827">
            <v>0</v>
          </cell>
          <cell r="H827">
            <v>44000000</v>
          </cell>
          <cell r="I827">
            <v>4</v>
          </cell>
        </row>
        <row r="828">
          <cell r="C828">
            <v>601481289</v>
          </cell>
          <cell r="D828" t="str">
            <v>エヌイ－ディ－・株　</v>
          </cell>
          <cell r="E828">
            <v>32248273</v>
          </cell>
          <cell r="F828">
            <v>14000000</v>
          </cell>
          <cell r="G828">
            <v>0</v>
          </cell>
          <cell r="H828">
            <v>14000000</v>
          </cell>
          <cell r="I828">
            <v>5</v>
          </cell>
        </row>
        <row r="829">
          <cell r="C829">
            <v>601481832</v>
          </cell>
          <cell r="D829" t="str">
            <v>赤井電機・株　　　　</v>
          </cell>
          <cell r="E829">
            <v>79813865</v>
          </cell>
          <cell r="F829">
            <v>39392433</v>
          </cell>
          <cell r="G829">
            <v>39392432</v>
          </cell>
          <cell r="H829">
            <v>78784865</v>
          </cell>
          <cell r="I829">
            <v>5</v>
          </cell>
        </row>
        <row r="830">
          <cell r="C830">
            <v>601482884</v>
          </cell>
          <cell r="D830" t="str">
            <v>赤倉観光開発・株　　</v>
          </cell>
          <cell r="E830">
            <v>252393846</v>
          </cell>
          <cell r="F830">
            <v>252000000</v>
          </cell>
          <cell r="G830">
            <v>0</v>
          </cell>
          <cell r="H830">
            <v>252000000</v>
          </cell>
          <cell r="I830">
            <v>4</v>
          </cell>
        </row>
        <row r="831">
          <cell r="C831">
            <v>601483130</v>
          </cell>
          <cell r="D831" t="str">
            <v>東京抵当信用・株　　</v>
          </cell>
          <cell r="E831">
            <v>2493660321</v>
          </cell>
          <cell r="F831">
            <v>97863215</v>
          </cell>
          <cell r="G831">
            <v>2142170635</v>
          </cell>
          <cell r="H831">
            <v>2240033850</v>
          </cell>
          <cell r="I831">
            <v>5</v>
          </cell>
        </row>
        <row r="832">
          <cell r="C832">
            <v>601485058</v>
          </cell>
          <cell r="D832" t="str">
            <v>与志本林業・株　　　</v>
          </cell>
          <cell r="E832">
            <v>616000000</v>
          </cell>
          <cell r="F832">
            <v>323000000</v>
          </cell>
          <cell r="G832">
            <v>0</v>
          </cell>
          <cell r="H832">
            <v>323000000</v>
          </cell>
          <cell r="I832">
            <v>3</v>
          </cell>
        </row>
        <row r="833">
          <cell r="C833">
            <v>601506407</v>
          </cell>
          <cell r="D833" t="str">
            <v>株・文秀堂　　　　　</v>
          </cell>
          <cell r="E833">
            <v>82997629</v>
          </cell>
          <cell r="F833">
            <v>41429815</v>
          </cell>
          <cell r="G833">
            <v>41153814</v>
          </cell>
          <cell r="H833">
            <v>82583629</v>
          </cell>
          <cell r="I833">
            <v>5</v>
          </cell>
        </row>
        <row r="834">
          <cell r="C834">
            <v>601506572</v>
          </cell>
          <cell r="D834" t="str">
            <v>富士精工・株　　　　</v>
          </cell>
          <cell r="E834">
            <v>381327504</v>
          </cell>
          <cell r="F834">
            <v>235120299</v>
          </cell>
          <cell r="G834">
            <v>146207205</v>
          </cell>
          <cell r="H834">
            <v>381327504</v>
          </cell>
          <cell r="I834">
            <v>5</v>
          </cell>
        </row>
        <row r="835">
          <cell r="C835">
            <v>601558630</v>
          </cell>
          <cell r="D835" t="str">
            <v>株・インクス　　　　</v>
          </cell>
          <cell r="E835">
            <v>381954900</v>
          </cell>
          <cell r="F835">
            <v>49000000</v>
          </cell>
          <cell r="G835" t="str">
            <v/>
          </cell>
          <cell r="H835" t="e">
            <v>#VALUE!</v>
          </cell>
          <cell r="I835">
            <v>5</v>
          </cell>
        </row>
        <row r="836">
          <cell r="C836">
            <v>601561791</v>
          </cell>
          <cell r="D836" t="str">
            <v>富士紡績・株　　　　</v>
          </cell>
          <cell r="E836">
            <v>2349862266</v>
          </cell>
          <cell r="F836">
            <v>1476000000</v>
          </cell>
          <cell r="G836">
            <v>0</v>
          </cell>
          <cell r="H836">
            <v>1476000000</v>
          </cell>
          <cell r="I836">
            <v>3</v>
          </cell>
        </row>
        <row r="837">
          <cell r="C837">
            <v>601873441</v>
          </cell>
          <cell r="D837" t="str">
            <v>ＧＲＥＧＯＲＹ　ＧＥ</v>
          </cell>
          <cell r="E837">
            <v>17320000</v>
          </cell>
          <cell r="F837">
            <v>1000000</v>
          </cell>
          <cell r="G837">
            <v>0</v>
          </cell>
          <cell r="H837">
            <v>1000000</v>
          </cell>
          <cell r="I837">
            <v>4</v>
          </cell>
        </row>
        <row r="838">
          <cell r="C838">
            <v>602062164</v>
          </cell>
          <cell r="D838" t="str">
            <v>ＧＲＥＧＯＲＹ　ＡＮ</v>
          </cell>
          <cell r="E838">
            <v>26928000</v>
          </cell>
          <cell r="F838">
            <v>3000000</v>
          </cell>
          <cell r="G838">
            <v>0</v>
          </cell>
          <cell r="H838">
            <v>3000000</v>
          </cell>
          <cell r="I838">
            <v>4</v>
          </cell>
        </row>
        <row r="839">
          <cell r="C839">
            <v>602099498</v>
          </cell>
          <cell r="D839" t="str">
            <v>三泰貿易・株　　　　</v>
          </cell>
          <cell r="E839">
            <v>46000000</v>
          </cell>
          <cell r="F839">
            <v>29000000</v>
          </cell>
          <cell r="G839">
            <v>0</v>
          </cell>
          <cell r="H839">
            <v>29000000</v>
          </cell>
          <cell r="I839">
            <v>3</v>
          </cell>
        </row>
        <row r="840">
          <cell r="C840">
            <v>602684799</v>
          </cell>
          <cell r="D840" t="str">
            <v>株・第一ホテル　　　</v>
          </cell>
          <cell r="E840">
            <v>51068490</v>
          </cell>
          <cell r="F840">
            <v>0</v>
          </cell>
          <cell r="G840">
            <v>0</v>
          </cell>
          <cell r="H840">
            <v>0</v>
          </cell>
          <cell r="I840">
            <v>5</v>
          </cell>
        </row>
        <row r="841">
          <cell r="C841">
            <v>603309397</v>
          </cell>
          <cell r="D841" t="str">
            <v>株・泰正　　　　　　</v>
          </cell>
          <cell r="E841">
            <v>88400000</v>
          </cell>
          <cell r="F841">
            <v>56000000</v>
          </cell>
          <cell r="G841">
            <v>0</v>
          </cell>
          <cell r="H841">
            <v>56000000</v>
          </cell>
          <cell r="I841">
            <v>3</v>
          </cell>
        </row>
        <row r="842">
          <cell r="C842">
            <v>603442806</v>
          </cell>
          <cell r="D842" t="str">
            <v>オリエント時計・株　</v>
          </cell>
          <cell r="E842">
            <v>1109000000</v>
          </cell>
          <cell r="F842">
            <v>0</v>
          </cell>
          <cell r="G842">
            <v>0</v>
          </cell>
          <cell r="H842">
            <v>0</v>
          </cell>
          <cell r="I842">
            <v>2</v>
          </cell>
        </row>
        <row r="843">
          <cell r="C843">
            <v>601487770</v>
          </cell>
          <cell r="D843" t="str">
            <v>社団法人関東年金福祉</v>
          </cell>
          <cell r="E843">
            <v>0</v>
          </cell>
          <cell r="F843">
            <v>249000000</v>
          </cell>
          <cell r="G843" t="str">
            <v/>
          </cell>
          <cell r="H843" t="e">
            <v>#VALUE!</v>
          </cell>
          <cell r="I843">
            <v>3</v>
          </cell>
        </row>
        <row r="844">
          <cell r="C844">
            <v>601488440</v>
          </cell>
          <cell r="D844" t="str">
            <v>でんそう・株　　　　</v>
          </cell>
          <cell r="E844">
            <v>58700000</v>
          </cell>
          <cell r="F844">
            <v>11000000</v>
          </cell>
          <cell r="G844">
            <v>0</v>
          </cell>
          <cell r="H844">
            <v>11000000</v>
          </cell>
          <cell r="I844">
            <v>4</v>
          </cell>
        </row>
        <row r="845">
          <cell r="C845">
            <v>601489643</v>
          </cell>
          <cell r="D845" t="str">
            <v>マキヤ商事・株　　　</v>
          </cell>
          <cell r="E845">
            <v>29150000</v>
          </cell>
          <cell r="F845">
            <v>29000000</v>
          </cell>
          <cell r="G845">
            <v>0</v>
          </cell>
          <cell r="H845">
            <v>29000000</v>
          </cell>
          <cell r="I845">
            <v>4</v>
          </cell>
        </row>
        <row r="846">
          <cell r="C846">
            <v>601490004</v>
          </cell>
          <cell r="D846" t="str">
            <v>吉原　由嗣　　　　　</v>
          </cell>
          <cell r="E846">
            <v>28440220</v>
          </cell>
          <cell r="F846">
            <v>28000000</v>
          </cell>
          <cell r="G846">
            <v>0</v>
          </cell>
          <cell r="H846">
            <v>28000000</v>
          </cell>
          <cell r="I846">
            <v>4</v>
          </cell>
        </row>
        <row r="847">
          <cell r="C847">
            <v>601491894</v>
          </cell>
          <cell r="D847" t="str">
            <v>株・佐藤秀　　　　　</v>
          </cell>
          <cell r="E847">
            <v>1829900000</v>
          </cell>
          <cell r="F847">
            <v>1531000000</v>
          </cell>
          <cell r="G847">
            <v>0</v>
          </cell>
          <cell r="H847">
            <v>1531000000</v>
          </cell>
          <cell r="I847">
            <v>3</v>
          </cell>
        </row>
        <row r="848">
          <cell r="C848">
            <v>601491947</v>
          </cell>
          <cell r="D848" t="str">
            <v>イオミナール化粧品株</v>
          </cell>
          <cell r="E848">
            <v>25950000</v>
          </cell>
          <cell r="F848">
            <v>1000000</v>
          </cell>
          <cell r="G848">
            <v>0</v>
          </cell>
          <cell r="H848">
            <v>1000000</v>
          </cell>
          <cell r="I848">
            <v>4</v>
          </cell>
        </row>
        <row r="849">
          <cell r="C849">
            <v>601492640</v>
          </cell>
          <cell r="D849" t="str">
            <v>飛島建設・株　　　　</v>
          </cell>
          <cell r="E849">
            <v>2948121743</v>
          </cell>
          <cell r="F849">
            <v>1525000000</v>
          </cell>
          <cell r="G849">
            <v>0</v>
          </cell>
          <cell r="H849">
            <v>1525000000</v>
          </cell>
          <cell r="I849">
            <v>3</v>
          </cell>
        </row>
        <row r="850">
          <cell r="C850">
            <v>601693229</v>
          </cell>
          <cell r="D850" t="str">
            <v>アイ・エンタープライ</v>
          </cell>
          <cell r="E850">
            <v>3160000</v>
          </cell>
          <cell r="F850">
            <v>1000000</v>
          </cell>
          <cell r="G850">
            <v>0</v>
          </cell>
          <cell r="H850">
            <v>1000000</v>
          </cell>
          <cell r="I850">
            <v>3</v>
          </cell>
        </row>
        <row r="851">
          <cell r="C851">
            <v>601730323</v>
          </cell>
          <cell r="D851" t="str">
            <v>渡辺　敏雄　　　　　</v>
          </cell>
          <cell r="E851">
            <v>495577116</v>
          </cell>
          <cell r="F851">
            <v>243000000</v>
          </cell>
          <cell r="G851">
            <v>0</v>
          </cell>
          <cell r="H851">
            <v>243000000</v>
          </cell>
          <cell r="I851">
            <v>4</v>
          </cell>
        </row>
        <row r="852">
          <cell r="C852">
            <v>601858575</v>
          </cell>
          <cell r="D852" t="str">
            <v>渡邉　法子　　　　　</v>
          </cell>
          <cell r="E852">
            <v>213315643</v>
          </cell>
          <cell r="F852">
            <v>105000000</v>
          </cell>
          <cell r="G852">
            <v>0</v>
          </cell>
          <cell r="H852">
            <v>105000000</v>
          </cell>
          <cell r="I852">
            <v>4</v>
          </cell>
        </row>
        <row r="853">
          <cell r="C853">
            <v>602114356</v>
          </cell>
          <cell r="D853" t="str">
            <v>荒井　貞助　　　　　</v>
          </cell>
          <cell r="E853">
            <v>64544360</v>
          </cell>
          <cell r="F853">
            <v>40000000</v>
          </cell>
          <cell r="G853">
            <v>0</v>
          </cell>
          <cell r="H853">
            <v>40000000</v>
          </cell>
          <cell r="I853">
            <v>4</v>
          </cell>
        </row>
        <row r="854">
          <cell r="C854">
            <v>601493898</v>
          </cell>
          <cell r="D854" t="str">
            <v>株・西武百貨店　　　</v>
          </cell>
          <cell r="E854">
            <v>2881000000</v>
          </cell>
          <cell r="F854">
            <v>1810000000</v>
          </cell>
          <cell r="G854">
            <v>0</v>
          </cell>
          <cell r="H854">
            <v>1810000000</v>
          </cell>
          <cell r="I854">
            <v>3</v>
          </cell>
        </row>
        <row r="855">
          <cell r="C855">
            <v>601496637</v>
          </cell>
          <cell r="D855" t="str">
            <v>株・西洋環境開発　　</v>
          </cell>
          <cell r="E855">
            <v>2677905979</v>
          </cell>
          <cell r="F855">
            <v>987452990</v>
          </cell>
          <cell r="G855">
            <v>987452989</v>
          </cell>
          <cell r="H855">
            <v>1974905979</v>
          </cell>
          <cell r="I855">
            <v>5</v>
          </cell>
        </row>
        <row r="856">
          <cell r="C856">
            <v>601497081</v>
          </cell>
          <cell r="D856" t="str">
            <v>株・朝商エージェンシ</v>
          </cell>
          <cell r="E856">
            <v>170581348</v>
          </cell>
          <cell r="F856">
            <v>28000000</v>
          </cell>
          <cell r="G856">
            <v>0</v>
          </cell>
          <cell r="H856">
            <v>28000000</v>
          </cell>
          <cell r="I856">
            <v>3</v>
          </cell>
        </row>
        <row r="857">
          <cell r="C857">
            <v>601497210</v>
          </cell>
          <cell r="D857" t="str">
            <v>有・多歌山　　　　　</v>
          </cell>
          <cell r="E857">
            <v>98220000</v>
          </cell>
          <cell r="F857">
            <v>25000000</v>
          </cell>
          <cell r="G857">
            <v>0</v>
          </cell>
          <cell r="H857">
            <v>25000000</v>
          </cell>
          <cell r="I857">
            <v>4</v>
          </cell>
        </row>
        <row r="858">
          <cell r="C858">
            <v>601898677</v>
          </cell>
          <cell r="D858" t="str">
            <v>西和産業・株　　　　</v>
          </cell>
          <cell r="E858">
            <v>360000000</v>
          </cell>
          <cell r="F858">
            <v>169000000</v>
          </cell>
          <cell r="G858">
            <v>0</v>
          </cell>
          <cell r="H858">
            <v>169000000</v>
          </cell>
          <cell r="I858">
            <v>3</v>
          </cell>
        </row>
        <row r="859">
          <cell r="C859">
            <v>603167882</v>
          </cell>
          <cell r="D859" t="str">
            <v>河嶋　出征生　　　　</v>
          </cell>
          <cell r="E859">
            <v>9350000</v>
          </cell>
          <cell r="F859">
            <v>9000000</v>
          </cell>
          <cell r="G859">
            <v>0</v>
          </cell>
          <cell r="H859">
            <v>9000000</v>
          </cell>
          <cell r="I859">
            <v>5</v>
          </cell>
        </row>
        <row r="860">
          <cell r="C860">
            <v>603425394</v>
          </cell>
          <cell r="D860" t="str">
            <v>丸松物産・株　　　　</v>
          </cell>
          <cell r="E860">
            <v>2617237</v>
          </cell>
          <cell r="F860">
            <v>0</v>
          </cell>
          <cell r="G860">
            <v>1610607</v>
          </cell>
          <cell r="H860">
            <v>1610607</v>
          </cell>
          <cell r="I860">
            <v>5</v>
          </cell>
        </row>
        <row r="861">
          <cell r="C861">
            <v>603607272</v>
          </cell>
          <cell r="D861" t="str">
            <v>藤田　和巳　　　　　</v>
          </cell>
          <cell r="E861">
            <v>2248000</v>
          </cell>
          <cell r="F861">
            <v>2000000</v>
          </cell>
          <cell r="G861">
            <v>0</v>
          </cell>
          <cell r="H861">
            <v>2000000</v>
          </cell>
          <cell r="I861">
            <v>4</v>
          </cell>
        </row>
        <row r="862">
          <cell r="C862">
            <v>601499910</v>
          </cell>
          <cell r="D862" t="str">
            <v>岡本商事・株　　　　</v>
          </cell>
          <cell r="E862">
            <v>186376891</v>
          </cell>
          <cell r="F862">
            <v>79000000</v>
          </cell>
          <cell r="G862">
            <v>0</v>
          </cell>
          <cell r="H862">
            <v>79000000</v>
          </cell>
          <cell r="I862">
            <v>3</v>
          </cell>
        </row>
        <row r="863">
          <cell r="C863">
            <v>601502409</v>
          </cell>
          <cell r="D863" t="str">
            <v>生田　直之　　　　　</v>
          </cell>
          <cell r="E863">
            <v>5299863</v>
          </cell>
          <cell r="F863">
            <v>5000000</v>
          </cell>
          <cell r="G863">
            <v>0</v>
          </cell>
          <cell r="H863">
            <v>5000000</v>
          </cell>
          <cell r="I863">
            <v>4</v>
          </cell>
        </row>
        <row r="864">
          <cell r="C864">
            <v>601502498</v>
          </cell>
          <cell r="D864" t="str">
            <v>金　鐘和　　　　　　</v>
          </cell>
          <cell r="E864">
            <v>0</v>
          </cell>
          <cell r="F864">
            <v>0</v>
          </cell>
          <cell r="G864">
            <v>0</v>
          </cell>
          <cell r="H864">
            <v>0</v>
          </cell>
          <cell r="I864">
            <v>5</v>
          </cell>
        </row>
        <row r="865">
          <cell r="C865">
            <v>601502552</v>
          </cell>
          <cell r="D865" t="str">
            <v>ヒサモト商事・株　　</v>
          </cell>
          <cell r="E865">
            <v>272875741</v>
          </cell>
          <cell r="F865">
            <v>171000000</v>
          </cell>
          <cell r="G865">
            <v>0</v>
          </cell>
          <cell r="H865">
            <v>171000000</v>
          </cell>
          <cell r="I865">
            <v>3</v>
          </cell>
        </row>
        <row r="866">
          <cell r="C866">
            <v>601503222</v>
          </cell>
          <cell r="D866" t="str">
            <v>権東　明雄　　　　　</v>
          </cell>
          <cell r="E866">
            <v>54010000</v>
          </cell>
          <cell r="F866">
            <v>15000000</v>
          </cell>
          <cell r="G866">
            <v>0</v>
          </cell>
          <cell r="H866">
            <v>15000000</v>
          </cell>
          <cell r="I866">
            <v>4</v>
          </cell>
        </row>
        <row r="867">
          <cell r="C867">
            <v>601503624</v>
          </cell>
          <cell r="D867" t="str">
            <v>川西　國雄　　　　　</v>
          </cell>
          <cell r="E867">
            <v>210650000</v>
          </cell>
          <cell r="F867">
            <v>76000000</v>
          </cell>
          <cell r="G867">
            <v>0</v>
          </cell>
          <cell r="H867">
            <v>76000000</v>
          </cell>
          <cell r="I867">
            <v>3</v>
          </cell>
        </row>
        <row r="868">
          <cell r="C868">
            <v>601504621</v>
          </cell>
          <cell r="D868" t="str">
            <v>江柄子　正友　　　　</v>
          </cell>
          <cell r="E868">
            <v>98380000</v>
          </cell>
          <cell r="F868">
            <v>28290000</v>
          </cell>
          <cell r="G868">
            <v>28290000</v>
          </cell>
          <cell r="H868">
            <v>56580000</v>
          </cell>
          <cell r="I868">
            <v>5</v>
          </cell>
        </row>
        <row r="869">
          <cell r="C869">
            <v>601504687</v>
          </cell>
          <cell r="D869" t="str">
            <v>吉村　幸次　　　　　</v>
          </cell>
          <cell r="E869">
            <v>158218000</v>
          </cell>
          <cell r="F869">
            <v>72000000</v>
          </cell>
          <cell r="G869">
            <v>0</v>
          </cell>
          <cell r="H869">
            <v>72000000</v>
          </cell>
          <cell r="I869">
            <v>4</v>
          </cell>
        </row>
        <row r="870">
          <cell r="C870">
            <v>601504925</v>
          </cell>
          <cell r="D870" t="str">
            <v>有・平田企画　　　　</v>
          </cell>
          <cell r="E870">
            <v>173100000</v>
          </cell>
          <cell r="F870">
            <v>97000000</v>
          </cell>
          <cell r="G870">
            <v>0</v>
          </cell>
          <cell r="H870">
            <v>97000000</v>
          </cell>
          <cell r="I870">
            <v>3</v>
          </cell>
        </row>
        <row r="871">
          <cell r="C871">
            <v>601505879</v>
          </cell>
          <cell r="D871" t="str">
            <v>株・間組　　　　　　</v>
          </cell>
          <cell r="E871">
            <v>1165000000</v>
          </cell>
          <cell r="F871">
            <v>476000000</v>
          </cell>
          <cell r="G871">
            <v>0</v>
          </cell>
          <cell r="H871">
            <v>476000000</v>
          </cell>
          <cell r="I871">
            <v>3</v>
          </cell>
        </row>
        <row r="872">
          <cell r="C872">
            <v>601837283</v>
          </cell>
          <cell r="D872" t="str">
            <v>江柄子　勝友　　　　</v>
          </cell>
          <cell r="E872">
            <v>193600000</v>
          </cell>
          <cell r="F872">
            <v>77000000</v>
          </cell>
          <cell r="G872">
            <v>0</v>
          </cell>
          <cell r="H872">
            <v>77000000</v>
          </cell>
          <cell r="I872">
            <v>3</v>
          </cell>
        </row>
        <row r="873">
          <cell r="C873">
            <v>601857925</v>
          </cell>
          <cell r="D873" t="str">
            <v>有・藤三商事　　　　</v>
          </cell>
          <cell r="E873">
            <v>14865035</v>
          </cell>
          <cell r="F873">
            <v>3000000</v>
          </cell>
          <cell r="G873">
            <v>0</v>
          </cell>
          <cell r="H873">
            <v>3000000</v>
          </cell>
          <cell r="I873">
            <v>3</v>
          </cell>
        </row>
        <row r="874">
          <cell r="C874">
            <v>601970085</v>
          </cell>
          <cell r="D874" t="str">
            <v>松橋　孝一　　　　　</v>
          </cell>
          <cell r="E874">
            <v>14224805</v>
          </cell>
          <cell r="F874">
            <v>14000000</v>
          </cell>
          <cell r="G874">
            <v>0</v>
          </cell>
          <cell r="H874">
            <v>14000000</v>
          </cell>
          <cell r="I874">
            <v>4</v>
          </cell>
        </row>
        <row r="875">
          <cell r="C875">
            <v>602001225</v>
          </cell>
          <cell r="D875" t="str">
            <v>離山房・有　　　　　</v>
          </cell>
          <cell r="E875">
            <v>19100000</v>
          </cell>
          <cell r="F875">
            <v>10000000</v>
          </cell>
          <cell r="G875">
            <v>0</v>
          </cell>
          <cell r="H875">
            <v>10000000</v>
          </cell>
          <cell r="I875">
            <v>3</v>
          </cell>
        </row>
        <row r="876">
          <cell r="C876">
            <v>602033249</v>
          </cell>
          <cell r="D876" t="str">
            <v>株・エ－ア－ルシ－　</v>
          </cell>
          <cell r="E876">
            <v>0</v>
          </cell>
          <cell r="F876">
            <v>0</v>
          </cell>
          <cell r="G876">
            <v>0</v>
          </cell>
          <cell r="H876">
            <v>0</v>
          </cell>
          <cell r="I876" t="str">
            <v/>
          </cell>
        </row>
        <row r="877">
          <cell r="C877">
            <v>602110858</v>
          </cell>
          <cell r="D877" t="str">
            <v>中友　忠義　　　　　</v>
          </cell>
          <cell r="E877">
            <v>46190000</v>
          </cell>
          <cell r="F877">
            <v>0</v>
          </cell>
          <cell r="G877">
            <v>0</v>
          </cell>
          <cell r="H877">
            <v>0</v>
          </cell>
          <cell r="I877">
            <v>3</v>
          </cell>
        </row>
        <row r="878">
          <cell r="C878">
            <v>602221907</v>
          </cell>
          <cell r="D878" t="str">
            <v>有・みいでら　　　　</v>
          </cell>
          <cell r="E878">
            <v>37150000</v>
          </cell>
          <cell r="F878">
            <v>37000000</v>
          </cell>
          <cell r="G878">
            <v>0</v>
          </cell>
          <cell r="H878">
            <v>37000000</v>
          </cell>
          <cell r="I878">
            <v>4</v>
          </cell>
        </row>
        <row r="879">
          <cell r="C879">
            <v>602546154</v>
          </cell>
          <cell r="D879" t="str">
            <v>稲垣　豊　　　　　　</v>
          </cell>
          <cell r="E879">
            <v>16688752</v>
          </cell>
          <cell r="F879">
            <v>6000000</v>
          </cell>
          <cell r="G879">
            <v>0</v>
          </cell>
          <cell r="H879">
            <v>6000000</v>
          </cell>
          <cell r="I879">
            <v>3</v>
          </cell>
        </row>
        <row r="880">
          <cell r="C880">
            <v>602801316</v>
          </cell>
          <cell r="D880" t="str">
            <v>株・ヴァ－チャルウェ</v>
          </cell>
          <cell r="E880">
            <v>8480000</v>
          </cell>
          <cell r="F880">
            <v>8000000</v>
          </cell>
          <cell r="G880">
            <v>0</v>
          </cell>
          <cell r="H880">
            <v>8000000</v>
          </cell>
          <cell r="I880">
            <v>4</v>
          </cell>
        </row>
        <row r="881">
          <cell r="C881">
            <v>602988534</v>
          </cell>
          <cell r="D881" t="str">
            <v>ベージュ・株　　　　</v>
          </cell>
          <cell r="E881">
            <v>69946000</v>
          </cell>
          <cell r="F881">
            <v>9000000</v>
          </cell>
          <cell r="G881">
            <v>0</v>
          </cell>
          <cell r="H881">
            <v>9000000</v>
          </cell>
          <cell r="I881">
            <v>4</v>
          </cell>
        </row>
        <row r="882">
          <cell r="C882">
            <v>603015829</v>
          </cell>
          <cell r="D882" t="str">
            <v>株・青山地所　　　　</v>
          </cell>
          <cell r="E882">
            <v>2742880000</v>
          </cell>
          <cell r="F882">
            <v>2716000000</v>
          </cell>
          <cell r="G882">
            <v>0</v>
          </cell>
          <cell r="H882">
            <v>2716000000</v>
          </cell>
          <cell r="I882">
            <v>3</v>
          </cell>
        </row>
        <row r="883">
          <cell r="C883">
            <v>603048068</v>
          </cell>
          <cell r="D883" t="str">
            <v>三井寺　吉雄　　　　</v>
          </cell>
          <cell r="E883">
            <v>199672548</v>
          </cell>
          <cell r="F883">
            <v>44000000</v>
          </cell>
          <cell r="G883">
            <v>0</v>
          </cell>
          <cell r="H883">
            <v>44000000</v>
          </cell>
          <cell r="I883">
            <v>4</v>
          </cell>
        </row>
        <row r="884">
          <cell r="C884">
            <v>601509028</v>
          </cell>
          <cell r="D884" t="str">
            <v>金井　純代　　　　　</v>
          </cell>
          <cell r="E884">
            <v>4451890</v>
          </cell>
          <cell r="F884">
            <v>1000000</v>
          </cell>
          <cell r="G884">
            <v>0</v>
          </cell>
          <cell r="H884">
            <v>1000000</v>
          </cell>
          <cell r="I884">
            <v>4</v>
          </cell>
        </row>
        <row r="885">
          <cell r="C885">
            <v>601509768</v>
          </cell>
          <cell r="D885" t="str">
            <v>株・守屋建設　　　　</v>
          </cell>
          <cell r="E885">
            <v>229086000</v>
          </cell>
          <cell r="F885">
            <v>181000000</v>
          </cell>
          <cell r="G885">
            <v>0</v>
          </cell>
          <cell r="H885">
            <v>181000000</v>
          </cell>
          <cell r="I885">
            <v>4</v>
          </cell>
        </row>
        <row r="886">
          <cell r="C886">
            <v>601509811</v>
          </cell>
          <cell r="D886" t="str">
            <v>金井　清次　　　　　</v>
          </cell>
          <cell r="E886">
            <v>97908619</v>
          </cell>
          <cell r="F886">
            <v>51000000</v>
          </cell>
          <cell r="G886">
            <v>0</v>
          </cell>
          <cell r="H886">
            <v>51000000</v>
          </cell>
          <cell r="I886">
            <v>4</v>
          </cell>
        </row>
        <row r="887">
          <cell r="C887">
            <v>602143900</v>
          </cell>
          <cell r="D887" t="str">
            <v>小沢　和明　　　　　</v>
          </cell>
          <cell r="E887">
            <v>109021053</v>
          </cell>
          <cell r="F887">
            <v>27000000</v>
          </cell>
          <cell r="G887">
            <v>0</v>
          </cell>
          <cell r="H887">
            <v>27000000</v>
          </cell>
          <cell r="I887">
            <v>4</v>
          </cell>
        </row>
        <row r="888">
          <cell r="C888">
            <v>602527377</v>
          </cell>
          <cell r="D888" t="str">
            <v>多田　幸久　　　　　</v>
          </cell>
          <cell r="E888">
            <v>132770520</v>
          </cell>
          <cell r="F888">
            <v>84000000</v>
          </cell>
          <cell r="G888">
            <v>0</v>
          </cell>
          <cell r="H888">
            <v>84000000</v>
          </cell>
          <cell r="I888">
            <v>4</v>
          </cell>
        </row>
        <row r="889">
          <cell r="C889">
            <v>602574789</v>
          </cell>
          <cell r="D889" t="str">
            <v>多田・有　　　　　　</v>
          </cell>
          <cell r="E889">
            <v>59198793</v>
          </cell>
          <cell r="F889">
            <v>21000000</v>
          </cell>
          <cell r="G889">
            <v>0</v>
          </cell>
          <cell r="H889">
            <v>21000000</v>
          </cell>
          <cell r="I889">
            <v>4</v>
          </cell>
        </row>
        <row r="890">
          <cell r="C890">
            <v>602856724</v>
          </cell>
          <cell r="D890" t="str">
            <v>本多　義隆　　　　　</v>
          </cell>
          <cell r="E890">
            <v>0</v>
          </cell>
          <cell r="F890">
            <v>0</v>
          </cell>
          <cell r="G890">
            <v>0</v>
          </cell>
          <cell r="H890">
            <v>0</v>
          </cell>
          <cell r="I890" t="str">
            <v/>
          </cell>
        </row>
        <row r="891">
          <cell r="C891">
            <v>602965259</v>
          </cell>
          <cell r="D891" t="str">
            <v>細沢　龍雄　　　　　</v>
          </cell>
          <cell r="E891">
            <v>50544429</v>
          </cell>
          <cell r="F891">
            <v>35000000</v>
          </cell>
          <cell r="G891">
            <v>0</v>
          </cell>
          <cell r="H891">
            <v>35000000</v>
          </cell>
          <cell r="I891">
            <v>4</v>
          </cell>
        </row>
        <row r="892">
          <cell r="C892">
            <v>603519528</v>
          </cell>
          <cell r="D892" t="str">
            <v>株・マルカワ　　　　</v>
          </cell>
          <cell r="E892">
            <v>130000000</v>
          </cell>
          <cell r="F892">
            <v>23000000</v>
          </cell>
          <cell r="G892">
            <v>0</v>
          </cell>
          <cell r="H892">
            <v>23000000</v>
          </cell>
          <cell r="I892">
            <v>3</v>
          </cell>
        </row>
        <row r="893">
          <cell r="C893">
            <v>601515700</v>
          </cell>
          <cell r="D893" t="str">
            <v>有・サンみどり　　　</v>
          </cell>
          <cell r="E893">
            <v>47163169</v>
          </cell>
          <cell r="F893">
            <v>10000000</v>
          </cell>
          <cell r="G893">
            <v>0</v>
          </cell>
          <cell r="H893">
            <v>10000000</v>
          </cell>
          <cell r="I893">
            <v>3</v>
          </cell>
        </row>
        <row r="894">
          <cell r="C894">
            <v>601517900</v>
          </cell>
          <cell r="D894" t="str">
            <v>松栄建設・株　　　　</v>
          </cell>
          <cell r="E894">
            <v>796510000</v>
          </cell>
          <cell r="F894">
            <v>697000000</v>
          </cell>
          <cell r="G894">
            <v>0</v>
          </cell>
          <cell r="H894">
            <v>697000000</v>
          </cell>
          <cell r="I894">
            <v>3</v>
          </cell>
        </row>
        <row r="895">
          <cell r="C895">
            <v>601518463</v>
          </cell>
          <cell r="D895" t="str">
            <v>松栄建設・協　　　　</v>
          </cell>
          <cell r="E895">
            <v>294900000</v>
          </cell>
          <cell r="F895">
            <v>185000000</v>
          </cell>
          <cell r="G895">
            <v>0</v>
          </cell>
          <cell r="H895">
            <v>185000000</v>
          </cell>
          <cell r="I895">
            <v>3</v>
          </cell>
        </row>
        <row r="896">
          <cell r="C896">
            <v>601524243</v>
          </cell>
          <cell r="D896" t="str">
            <v>坂本　恵子　　　　　</v>
          </cell>
          <cell r="E896">
            <v>20894728</v>
          </cell>
          <cell r="F896">
            <v>11000000</v>
          </cell>
          <cell r="G896" t="str">
            <v/>
          </cell>
          <cell r="H896" t="e">
            <v>#VALUE!</v>
          </cell>
          <cell r="I896">
            <v>4</v>
          </cell>
        </row>
        <row r="897">
          <cell r="C897">
            <v>601524265</v>
          </cell>
          <cell r="D897" t="str">
            <v>株・千木羅理研　　　</v>
          </cell>
          <cell r="E897">
            <v>87374726</v>
          </cell>
          <cell r="F897">
            <v>17000000</v>
          </cell>
          <cell r="G897">
            <v>0</v>
          </cell>
          <cell r="H897">
            <v>17000000</v>
          </cell>
          <cell r="I897">
            <v>3</v>
          </cell>
        </row>
        <row r="898">
          <cell r="C898">
            <v>601524765</v>
          </cell>
          <cell r="D898" t="str">
            <v>望月精密機械工業・有</v>
          </cell>
          <cell r="E898">
            <v>5870621</v>
          </cell>
          <cell r="F898">
            <v>5000000</v>
          </cell>
          <cell r="G898">
            <v>0</v>
          </cell>
          <cell r="H898">
            <v>5000000</v>
          </cell>
          <cell r="I898">
            <v>4</v>
          </cell>
        </row>
        <row r="899">
          <cell r="C899">
            <v>601527635</v>
          </cell>
          <cell r="D899" t="str">
            <v>埼角運送・株　　　　</v>
          </cell>
          <cell r="E899">
            <v>65106708</v>
          </cell>
          <cell r="F899">
            <v>12499325</v>
          </cell>
          <cell r="G899">
            <v>12499324</v>
          </cell>
          <cell r="H899">
            <v>24998649</v>
          </cell>
          <cell r="I899">
            <v>5</v>
          </cell>
        </row>
        <row r="900">
          <cell r="C900">
            <v>601528534</v>
          </cell>
          <cell r="D900" t="str">
            <v>株・サンワ建工　　　</v>
          </cell>
          <cell r="E900">
            <v>342522854</v>
          </cell>
          <cell r="F900">
            <v>142236927</v>
          </cell>
          <cell r="G900">
            <v>142236927</v>
          </cell>
          <cell r="H900">
            <v>284473854</v>
          </cell>
          <cell r="I900">
            <v>5</v>
          </cell>
        </row>
        <row r="901">
          <cell r="C901">
            <v>601529519</v>
          </cell>
          <cell r="D901" t="str">
            <v>株・藤栄建設　　　　</v>
          </cell>
          <cell r="E901">
            <v>157629928</v>
          </cell>
          <cell r="F901">
            <v>86000000</v>
          </cell>
          <cell r="G901">
            <v>0</v>
          </cell>
          <cell r="H901">
            <v>86000000</v>
          </cell>
          <cell r="I901">
            <v>4</v>
          </cell>
        </row>
        <row r="902">
          <cell r="C902">
            <v>601530481</v>
          </cell>
          <cell r="D902" t="str">
            <v>三光物産・株　　　　</v>
          </cell>
          <cell r="E902">
            <v>122122500</v>
          </cell>
          <cell r="F902">
            <v>29000000</v>
          </cell>
          <cell r="G902">
            <v>0</v>
          </cell>
          <cell r="H902">
            <v>29000000</v>
          </cell>
          <cell r="I902">
            <v>3</v>
          </cell>
        </row>
        <row r="903">
          <cell r="C903">
            <v>602143433</v>
          </cell>
          <cell r="D903" t="str">
            <v>松本　とり　　　　　</v>
          </cell>
          <cell r="E903">
            <v>0</v>
          </cell>
          <cell r="F903">
            <v>0</v>
          </cell>
          <cell r="G903">
            <v>0</v>
          </cell>
          <cell r="H903">
            <v>0</v>
          </cell>
          <cell r="I903">
            <v>3</v>
          </cell>
        </row>
        <row r="904">
          <cell r="C904">
            <v>602521113</v>
          </cell>
          <cell r="D904" t="str">
            <v>小川　章　　　　　　</v>
          </cell>
          <cell r="E904">
            <v>19000417</v>
          </cell>
          <cell r="F904">
            <v>6000000</v>
          </cell>
          <cell r="G904">
            <v>0</v>
          </cell>
          <cell r="H904">
            <v>6000000</v>
          </cell>
          <cell r="I904">
            <v>3</v>
          </cell>
        </row>
        <row r="905">
          <cell r="C905">
            <v>603812322</v>
          </cell>
          <cell r="D905" t="str">
            <v>榊原　博文　　　　　</v>
          </cell>
          <cell r="E905">
            <v>204252830</v>
          </cell>
          <cell r="F905">
            <v>107000000</v>
          </cell>
          <cell r="G905" t="str">
            <v/>
          </cell>
          <cell r="H905" t="e">
            <v>#VALUE!</v>
          </cell>
          <cell r="I905">
            <v>4</v>
          </cell>
        </row>
        <row r="906">
          <cell r="C906">
            <v>601533546</v>
          </cell>
          <cell r="D906" t="str">
            <v>浦島産業・株　　　　</v>
          </cell>
          <cell r="E906">
            <v>57086218</v>
          </cell>
          <cell r="F906">
            <v>19000000</v>
          </cell>
          <cell r="G906">
            <v>0</v>
          </cell>
          <cell r="H906">
            <v>19000000</v>
          </cell>
          <cell r="I906">
            <v>3</v>
          </cell>
        </row>
        <row r="907">
          <cell r="C907">
            <v>601534336</v>
          </cell>
          <cell r="D907" t="str">
            <v>株・和恒　　　　　　</v>
          </cell>
          <cell r="E907">
            <v>344863066</v>
          </cell>
          <cell r="F907">
            <v>327000000</v>
          </cell>
          <cell r="G907">
            <v>0</v>
          </cell>
          <cell r="H907">
            <v>327000000</v>
          </cell>
          <cell r="I907">
            <v>4</v>
          </cell>
        </row>
        <row r="908">
          <cell r="C908">
            <v>601534576</v>
          </cell>
          <cell r="D908" t="str">
            <v>有・埼玉県北冠婚葬祭</v>
          </cell>
          <cell r="E908">
            <v>50919501</v>
          </cell>
          <cell r="F908">
            <v>24844751</v>
          </cell>
          <cell r="G908">
            <v>24844750</v>
          </cell>
          <cell r="H908">
            <v>49689501</v>
          </cell>
          <cell r="I908">
            <v>5</v>
          </cell>
        </row>
        <row r="909">
          <cell r="C909">
            <v>601535702</v>
          </cell>
          <cell r="D909" t="str">
            <v>髙清産業・株　　　　</v>
          </cell>
          <cell r="E909">
            <v>0</v>
          </cell>
          <cell r="F909">
            <v>0</v>
          </cell>
          <cell r="G909">
            <v>0</v>
          </cell>
          <cell r="H909">
            <v>0</v>
          </cell>
          <cell r="I909">
            <v>5</v>
          </cell>
        </row>
        <row r="910">
          <cell r="C910">
            <v>601536570</v>
          </cell>
          <cell r="D910" t="str">
            <v>有・かざま　　　　　</v>
          </cell>
          <cell r="E910">
            <v>15690098</v>
          </cell>
          <cell r="F910">
            <v>10645549</v>
          </cell>
          <cell r="G910">
            <v>5044549</v>
          </cell>
          <cell r="H910">
            <v>15690098</v>
          </cell>
          <cell r="I910">
            <v>5</v>
          </cell>
        </row>
        <row r="911">
          <cell r="C911">
            <v>601536983</v>
          </cell>
          <cell r="D911" t="str">
            <v>萩原　孝之　　　　　</v>
          </cell>
          <cell r="E911">
            <v>43259255</v>
          </cell>
          <cell r="F911">
            <v>11000000</v>
          </cell>
          <cell r="G911">
            <v>0</v>
          </cell>
          <cell r="H911">
            <v>11000000</v>
          </cell>
          <cell r="I911">
            <v>3</v>
          </cell>
        </row>
        <row r="912">
          <cell r="C912">
            <v>601537500</v>
          </cell>
          <cell r="D912" t="str">
            <v>赤城フーズ・株　　　</v>
          </cell>
          <cell r="E912">
            <v>268966095</v>
          </cell>
          <cell r="F912">
            <v>66000000</v>
          </cell>
          <cell r="G912">
            <v>0</v>
          </cell>
          <cell r="H912">
            <v>66000000</v>
          </cell>
          <cell r="I912">
            <v>3</v>
          </cell>
        </row>
        <row r="913">
          <cell r="C913">
            <v>601537522</v>
          </cell>
          <cell r="D913" t="str">
            <v>橋本　輝雄　　　　　</v>
          </cell>
          <cell r="E913">
            <v>30910000</v>
          </cell>
          <cell r="F913">
            <v>2000000</v>
          </cell>
          <cell r="G913">
            <v>0</v>
          </cell>
          <cell r="H913">
            <v>2000000</v>
          </cell>
          <cell r="I913">
            <v>3</v>
          </cell>
        </row>
        <row r="914">
          <cell r="C914">
            <v>601538574</v>
          </cell>
          <cell r="D914" t="str">
            <v>黒須　晴子　　　　　</v>
          </cell>
          <cell r="E914">
            <v>45750000</v>
          </cell>
          <cell r="F914">
            <v>11000000</v>
          </cell>
          <cell r="G914">
            <v>0</v>
          </cell>
          <cell r="H914">
            <v>11000000</v>
          </cell>
          <cell r="I914">
            <v>4</v>
          </cell>
        </row>
        <row r="915">
          <cell r="C915">
            <v>601538605</v>
          </cell>
          <cell r="D915" t="str">
            <v>有・ミサワ屋　　　　</v>
          </cell>
          <cell r="E915">
            <v>19865180</v>
          </cell>
          <cell r="F915">
            <v>19000000</v>
          </cell>
          <cell r="G915">
            <v>0</v>
          </cell>
          <cell r="H915">
            <v>19000000</v>
          </cell>
          <cell r="I915">
            <v>5</v>
          </cell>
        </row>
        <row r="916">
          <cell r="C916">
            <v>601539004</v>
          </cell>
          <cell r="D916" t="str">
            <v>株・オリジンニジユウ</v>
          </cell>
          <cell r="E916">
            <v>32904000</v>
          </cell>
          <cell r="F916">
            <v>4000000</v>
          </cell>
          <cell r="G916">
            <v>0</v>
          </cell>
          <cell r="H916">
            <v>4000000</v>
          </cell>
          <cell r="I916">
            <v>3</v>
          </cell>
        </row>
        <row r="917">
          <cell r="C917">
            <v>601539331</v>
          </cell>
          <cell r="D917" t="str">
            <v>有・フクシマデンキ熊</v>
          </cell>
          <cell r="E917">
            <v>12800000</v>
          </cell>
          <cell r="F917">
            <v>1000000</v>
          </cell>
          <cell r="G917">
            <v>0</v>
          </cell>
          <cell r="H917">
            <v>1000000</v>
          </cell>
          <cell r="I917">
            <v>3</v>
          </cell>
        </row>
        <row r="918">
          <cell r="C918">
            <v>601540725</v>
          </cell>
          <cell r="D918" t="str">
            <v>坂石米穀・株　　　　</v>
          </cell>
          <cell r="E918">
            <v>27464717</v>
          </cell>
          <cell r="F918">
            <v>10000000</v>
          </cell>
          <cell r="G918">
            <v>0</v>
          </cell>
          <cell r="H918">
            <v>10000000</v>
          </cell>
          <cell r="I918">
            <v>3</v>
          </cell>
        </row>
        <row r="919">
          <cell r="C919">
            <v>601541179</v>
          </cell>
          <cell r="D919" t="str">
            <v>熊谷弁当・株　　　　</v>
          </cell>
          <cell r="E919">
            <v>0</v>
          </cell>
          <cell r="F919">
            <v>21000000</v>
          </cell>
          <cell r="G919">
            <v>0</v>
          </cell>
          <cell r="H919">
            <v>21000000</v>
          </cell>
          <cell r="I919">
            <v>3</v>
          </cell>
        </row>
        <row r="920">
          <cell r="C920">
            <v>601541799</v>
          </cell>
          <cell r="D920" t="str">
            <v>株・美工　　　　　　</v>
          </cell>
          <cell r="E920">
            <v>5330000</v>
          </cell>
          <cell r="F920">
            <v>2000000</v>
          </cell>
          <cell r="G920">
            <v>0</v>
          </cell>
          <cell r="H920">
            <v>2000000</v>
          </cell>
          <cell r="I920">
            <v>3</v>
          </cell>
        </row>
        <row r="921">
          <cell r="C921">
            <v>601542012</v>
          </cell>
          <cell r="D921" t="str">
            <v>株・イング　　　　　</v>
          </cell>
          <cell r="E921">
            <v>3696000</v>
          </cell>
          <cell r="F921">
            <v>2000000</v>
          </cell>
          <cell r="G921">
            <v>0</v>
          </cell>
          <cell r="H921">
            <v>2000000</v>
          </cell>
          <cell r="I921">
            <v>3</v>
          </cell>
        </row>
        <row r="922">
          <cell r="C922">
            <v>601542621</v>
          </cell>
          <cell r="D922" t="str">
            <v>株・大盛土地建物　　</v>
          </cell>
          <cell r="E922">
            <v>43782000</v>
          </cell>
          <cell r="F922">
            <v>20000000</v>
          </cell>
          <cell r="G922">
            <v>0</v>
          </cell>
          <cell r="H922">
            <v>20000000</v>
          </cell>
          <cell r="I922">
            <v>3</v>
          </cell>
        </row>
        <row r="923">
          <cell r="C923">
            <v>601543802</v>
          </cell>
          <cell r="D923" t="str">
            <v>洋の染・株落合捺染　</v>
          </cell>
          <cell r="E923">
            <v>42708517</v>
          </cell>
          <cell r="F923">
            <v>17609259</v>
          </cell>
          <cell r="G923">
            <v>17609258</v>
          </cell>
          <cell r="H923">
            <v>35218517</v>
          </cell>
          <cell r="I923">
            <v>5</v>
          </cell>
        </row>
        <row r="924">
          <cell r="C924">
            <v>601812568</v>
          </cell>
          <cell r="D924" t="str">
            <v>有・大久保カバン店　</v>
          </cell>
          <cell r="E924">
            <v>9680000</v>
          </cell>
          <cell r="F924">
            <v>9000000</v>
          </cell>
          <cell r="G924">
            <v>0</v>
          </cell>
          <cell r="H924">
            <v>9000000</v>
          </cell>
          <cell r="I924">
            <v>5</v>
          </cell>
        </row>
        <row r="925">
          <cell r="C925">
            <v>601893258</v>
          </cell>
          <cell r="D925" t="str">
            <v>有・熙一　　　　　　</v>
          </cell>
          <cell r="E925">
            <v>134600000</v>
          </cell>
          <cell r="F925">
            <v>134000000</v>
          </cell>
          <cell r="G925">
            <v>0</v>
          </cell>
          <cell r="H925">
            <v>134000000</v>
          </cell>
          <cell r="I925">
            <v>4</v>
          </cell>
        </row>
        <row r="926">
          <cell r="C926">
            <v>601975133</v>
          </cell>
          <cell r="D926" t="str">
            <v>石坂　久行　　　　　</v>
          </cell>
          <cell r="E926">
            <v>3500000</v>
          </cell>
          <cell r="F926">
            <v>3000000</v>
          </cell>
          <cell r="G926" t="str">
            <v/>
          </cell>
          <cell r="H926" t="e">
            <v>#VALUE!</v>
          </cell>
          <cell r="I926">
            <v>4</v>
          </cell>
        </row>
        <row r="927">
          <cell r="C927">
            <v>602086706</v>
          </cell>
          <cell r="D927" t="str">
            <v>吉野　善一　　　　　</v>
          </cell>
          <cell r="E927">
            <v>36850000</v>
          </cell>
          <cell r="F927">
            <v>26000000</v>
          </cell>
          <cell r="G927">
            <v>0</v>
          </cell>
          <cell r="H927">
            <v>26000000</v>
          </cell>
          <cell r="I927">
            <v>4</v>
          </cell>
        </row>
        <row r="928">
          <cell r="C928">
            <v>602117215</v>
          </cell>
          <cell r="D928" t="str">
            <v>小島　輝昭　　　　　</v>
          </cell>
          <cell r="E928">
            <v>7667796</v>
          </cell>
          <cell r="F928">
            <v>7000000</v>
          </cell>
          <cell r="G928">
            <v>0</v>
          </cell>
          <cell r="H928">
            <v>7000000</v>
          </cell>
          <cell r="I928">
            <v>4</v>
          </cell>
        </row>
        <row r="929">
          <cell r="C929">
            <v>602118170</v>
          </cell>
          <cell r="D929" t="str">
            <v>西田　誠　　　　　　</v>
          </cell>
          <cell r="E929">
            <v>41190878</v>
          </cell>
          <cell r="F929">
            <v>24000000</v>
          </cell>
          <cell r="G929">
            <v>0</v>
          </cell>
          <cell r="H929">
            <v>24000000</v>
          </cell>
          <cell r="I929">
            <v>4</v>
          </cell>
        </row>
        <row r="930">
          <cell r="C930">
            <v>602121404</v>
          </cell>
          <cell r="D930" t="str">
            <v>有・清歓堂　　　　　</v>
          </cell>
          <cell r="E930">
            <v>28150000</v>
          </cell>
          <cell r="F930">
            <v>14000000</v>
          </cell>
          <cell r="G930">
            <v>0</v>
          </cell>
          <cell r="H930">
            <v>14000000</v>
          </cell>
          <cell r="I930">
            <v>4</v>
          </cell>
        </row>
        <row r="931">
          <cell r="C931">
            <v>602160945</v>
          </cell>
          <cell r="D931" t="str">
            <v>小駒電気・株　　　　</v>
          </cell>
          <cell r="E931">
            <v>11500000</v>
          </cell>
          <cell r="F931">
            <v>7000000</v>
          </cell>
          <cell r="G931">
            <v>0</v>
          </cell>
          <cell r="H931">
            <v>7000000</v>
          </cell>
          <cell r="I931">
            <v>3</v>
          </cell>
        </row>
        <row r="932">
          <cell r="C932">
            <v>602161811</v>
          </cell>
          <cell r="D932" t="str">
            <v>黒須　正一郎　　　　</v>
          </cell>
          <cell r="E932">
            <v>28907236</v>
          </cell>
          <cell r="F932">
            <v>5000000</v>
          </cell>
          <cell r="G932">
            <v>0</v>
          </cell>
          <cell r="H932">
            <v>5000000</v>
          </cell>
          <cell r="I932">
            <v>4</v>
          </cell>
        </row>
        <row r="933">
          <cell r="C933">
            <v>601545328</v>
          </cell>
          <cell r="D933" t="str">
            <v>井上産業・株　　　　</v>
          </cell>
          <cell r="E933">
            <v>115867432</v>
          </cell>
          <cell r="F933">
            <v>57933716</v>
          </cell>
          <cell r="G933">
            <v>57933716</v>
          </cell>
          <cell r="H933">
            <v>115867432</v>
          </cell>
          <cell r="I933">
            <v>5</v>
          </cell>
        </row>
        <row r="934">
          <cell r="C934">
            <v>601545580</v>
          </cell>
          <cell r="D934" t="str">
            <v>株・日本エステ－ト　</v>
          </cell>
          <cell r="E934">
            <v>126306622</v>
          </cell>
          <cell r="F934">
            <v>101000000</v>
          </cell>
          <cell r="G934">
            <v>0</v>
          </cell>
          <cell r="H934">
            <v>101000000</v>
          </cell>
          <cell r="I934">
            <v>4</v>
          </cell>
        </row>
        <row r="935">
          <cell r="C935">
            <v>601546130</v>
          </cell>
          <cell r="D935" t="str">
            <v>群馬中央住宅事業・協</v>
          </cell>
          <cell r="E935">
            <v>10788000</v>
          </cell>
          <cell r="F935">
            <v>10000000</v>
          </cell>
          <cell r="G935">
            <v>0</v>
          </cell>
          <cell r="H935">
            <v>10000000</v>
          </cell>
          <cell r="I935">
            <v>4</v>
          </cell>
        </row>
        <row r="936">
          <cell r="C936">
            <v>601546272</v>
          </cell>
          <cell r="D936" t="str">
            <v>井上工業・株　　　　</v>
          </cell>
          <cell r="E936">
            <v>549741838</v>
          </cell>
          <cell r="F936">
            <v>0</v>
          </cell>
          <cell r="G936">
            <v>0</v>
          </cell>
          <cell r="H936">
            <v>0</v>
          </cell>
          <cell r="I936">
            <v>2</v>
          </cell>
        </row>
        <row r="937">
          <cell r="C937">
            <v>601548385</v>
          </cell>
          <cell r="D937" t="str">
            <v>株・桜井商店　　　　</v>
          </cell>
          <cell r="E937">
            <v>0</v>
          </cell>
          <cell r="F937">
            <v>0</v>
          </cell>
          <cell r="G937">
            <v>0</v>
          </cell>
          <cell r="H937">
            <v>0</v>
          </cell>
          <cell r="I937" t="str">
            <v/>
          </cell>
        </row>
        <row r="938">
          <cell r="C938">
            <v>601840300</v>
          </cell>
          <cell r="D938" t="str">
            <v>株・アン・ジャスティ</v>
          </cell>
          <cell r="E938">
            <v>129204000</v>
          </cell>
          <cell r="F938">
            <v>16000000</v>
          </cell>
          <cell r="G938">
            <v>0</v>
          </cell>
          <cell r="H938">
            <v>16000000</v>
          </cell>
          <cell r="I938">
            <v>3</v>
          </cell>
        </row>
        <row r="939">
          <cell r="C939">
            <v>602656826</v>
          </cell>
          <cell r="D939" t="str">
            <v>西原　菊江　　　　　</v>
          </cell>
          <cell r="E939">
            <v>2685000</v>
          </cell>
          <cell r="F939">
            <v>2000000</v>
          </cell>
          <cell r="G939">
            <v>0</v>
          </cell>
          <cell r="H939">
            <v>2000000</v>
          </cell>
          <cell r="I939">
            <v>4</v>
          </cell>
        </row>
        <row r="940">
          <cell r="C940">
            <v>601554981</v>
          </cell>
          <cell r="D940" t="str">
            <v>鳴河・株　　　　　　</v>
          </cell>
          <cell r="E940">
            <v>22478270</v>
          </cell>
          <cell r="F940">
            <v>11239135</v>
          </cell>
          <cell r="G940">
            <v>11239135</v>
          </cell>
          <cell r="H940">
            <v>22478270</v>
          </cell>
          <cell r="I940">
            <v>5</v>
          </cell>
        </row>
        <row r="941">
          <cell r="C941">
            <v>601555117</v>
          </cell>
          <cell r="D941" t="str">
            <v>ホソカワ・株　　　　</v>
          </cell>
          <cell r="E941">
            <v>342675710</v>
          </cell>
          <cell r="F941">
            <v>84000000</v>
          </cell>
          <cell r="G941">
            <v>0</v>
          </cell>
          <cell r="H941">
            <v>84000000</v>
          </cell>
          <cell r="I941">
            <v>4</v>
          </cell>
        </row>
        <row r="942">
          <cell r="C942">
            <v>601555248</v>
          </cell>
          <cell r="D942" t="str">
            <v>資・志治　　　　　　</v>
          </cell>
          <cell r="E942">
            <v>142800000</v>
          </cell>
          <cell r="F942">
            <v>38000000</v>
          </cell>
          <cell r="G942">
            <v>0</v>
          </cell>
          <cell r="H942">
            <v>38000000</v>
          </cell>
          <cell r="I942">
            <v>4</v>
          </cell>
        </row>
        <row r="943">
          <cell r="C943">
            <v>601555628</v>
          </cell>
          <cell r="D943" t="str">
            <v>株・森島羅紗店　　　</v>
          </cell>
          <cell r="E943">
            <v>190000000</v>
          </cell>
          <cell r="F943">
            <v>46000000</v>
          </cell>
          <cell r="G943">
            <v>0</v>
          </cell>
          <cell r="H943">
            <v>46000000</v>
          </cell>
          <cell r="I943">
            <v>3</v>
          </cell>
        </row>
        <row r="944">
          <cell r="C944">
            <v>601555835</v>
          </cell>
          <cell r="D944" t="str">
            <v>光商事・株　　　　　</v>
          </cell>
          <cell r="E944">
            <v>114438117</v>
          </cell>
          <cell r="F944">
            <v>35349934</v>
          </cell>
          <cell r="G944">
            <v>7716933</v>
          </cell>
          <cell r="H944">
            <v>43066867</v>
          </cell>
          <cell r="I944">
            <v>5</v>
          </cell>
        </row>
        <row r="945">
          <cell r="C945">
            <v>601555966</v>
          </cell>
          <cell r="D945" t="str">
            <v>株・中善　　　　　　</v>
          </cell>
          <cell r="E945">
            <v>182360000</v>
          </cell>
          <cell r="F945">
            <v>30000000</v>
          </cell>
          <cell r="G945">
            <v>0</v>
          </cell>
          <cell r="H945">
            <v>30000000</v>
          </cell>
          <cell r="I945">
            <v>3</v>
          </cell>
        </row>
        <row r="946">
          <cell r="C946">
            <v>601556929</v>
          </cell>
          <cell r="D946" t="str">
            <v>中立電機・株　　　　</v>
          </cell>
          <cell r="E946">
            <v>366430057</v>
          </cell>
          <cell r="F946">
            <v>137000000</v>
          </cell>
          <cell r="G946">
            <v>0</v>
          </cell>
          <cell r="H946">
            <v>137000000</v>
          </cell>
          <cell r="I946">
            <v>3</v>
          </cell>
        </row>
        <row r="947">
          <cell r="C947">
            <v>601557122</v>
          </cell>
          <cell r="D947" t="str">
            <v>細川　栄市　　　　　</v>
          </cell>
          <cell r="E947">
            <v>36950000</v>
          </cell>
          <cell r="F947">
            <v>10000000</v>
          </cell>
          <cell r="G947">
            <v>0</v>
          </cell>
          <cell r="H947">
            <v>10000000</v>
          </cell>
          <cell r="I947">
            <v>4</v>
          </cell>
        </row>
        <row r="948">
          <cell r="C948">
            <v>601559486</v>
          </cell>
          <cell r="D948" t="str">
            <v>株・靴のマルトミ　　</v>
          </cell>
          <cell r="E948">
            <v>390941131</v>
          </cell>
          <cell r="F948">
            <v>390000000</v>
          </cell>
          <cell r="G948">
            <v>0</v>
          </cell>
          <cell r="H948">
            <v>390000000</v>
          </cell>
          <cell r="I948">
            <v>5</v>
          </cell>
        </row>
        <row r="949">
          <cell r="C949">
            <v>601774261</v>
          </cell>
          <cell r="D949" t="str">
            <v>加納　康之　　　　　</v>
          </cell>
          <cell r="E949">
            <v>194762585</v>
          </cell>
          <cell r="F949">
            <v>121000000</v>
          </cell>
          <cell r="G949">
            <v>0</v>
          </cell>
          <cell r="H949">
            <v>121000000</v>
          </cell>
          <cell r="I949">
            <v>4</v>
          </cell>
        </row>
        <row r="950">
          <cell r="C950">
            <v>602506367</v>
          </cell>
          <cell r="D950" t="str">
            <v>株式会社フジタ名古屋</v>
          </cell>
          <cell r="E950">
            <v>223500000</v>
          </cell>
          <cell r="F950">
            <v>141000000</v>
          </cell>
          <cell r="G950" t="str">
            <v/>
          </cell>
          <cell r="H950" t="e">
            <v>#VALUE!</v>
          </cell>
          <cell r="I950">
            <v>3</v>
          </cell>
        </row>
        <row r="951">
          <cell r="C951">
            <v>602520432</v>
          </cell>
          <cell r="D951" t="str">
            <v>アルテック・株　　　</v>
          </cell>
          <cell r="E951">
            <v>50000000</v>
          </cell>
          <cell r="F951">
            <v>50000000</v>
          </cell>
          <cell r="G951">
            <v>0</v>
          </cell>
          <cell r="H951">
            <v>50000000</v>
          </cell>
          <cell r="I951">
            <v>4</v>
          </cell>
        </row>
        <row r="952">
          <cell r="C952">
            <v>602536681</v>
          </cell>
          <cell r="D952" t="str">
            <v>サンシステム・株　　</v>
          </cell>
          <cell r="E952">
            <v>75210000</v>
          </cell>
          <cell r="F952">
            <v>14000000</v>
          </cell>
          <cell r="G952">
            <v>0</v>
          </cell>
          <cell r="H952">
            <v>14000000</v>
          </cell>
          <cell r="I952">
            <v>3</v>
          </cell>
        </row>
        <row r="953">
          <cell r="C953">
            <v>602800602</v>
          </cell>
          <cell r="D953" t="str">
            <v>中央商品開発・株　　</v>
          </cell>
          <cell r="E953">
            <v>40596951</v>
          </cell>
          <cell r="F953">
            <v>20298476</v>
          </cell>
          <cell r="G953">
            <v>20298475</v>
          </cell>
          <cell r="H953">
            <v>40596951</v>
          </cell>
          <cell r="I953">
            <v>5</v>
          </cell>
        </row>
        <row r="954">
          <cell r="C954">
            <v>603420420</v>
          </cell>
          <cell r="D954" t="str">
            <v>株式会社本井建設</v>
          </cell>
          <cell r="E954">
            <v>42834000</v>
          </cell>
          <cell r="F954">
            <v>5000000</v>
          </cell>
          <cell r="G954" t="str">
            <v/>
          </cell>
          <cell r="H954" t="e">
            <v>#VALUE!</v>
          </cell>
          <cell r="I954">
            <v>3</v>
          </cell>
        </row>
        <row r="955">
          <cell r="C955">
            <v>603044515</v>
          </cell>
          <cell r="D955" t="str">
            <v>株・フジボウアパレル</v>
          </cell>
          <cell r="E955">
            <v>600000000</v>
          </cell>
          <cell r="F955">
            <v>252000000</v>
          </cell>
          <cell r="G955">
            <v>0</v>
          </cell>
          <cell r="H955">
            <v>252000000</v>
          </cell>
          <cell r="I955">
            <v>3</v>
          </cell>
        </row>
        <row r="956">
          <cell r="C956">
            <v>601563620</v>
          </cell>
          <cell r="D956" t="str">
            <v>資・越中屋本店　　　</v>
          </cell>
          <cell r="E956">
            <v>100570000</v>
          </cell>
          <cell r="F956">
            <v>100000000</v>
          </cell>
          <cell r="G956">
            <v>0</v>
          </cell>
          <cell r="H956">
            <v>100000000</v>
          </cell>
          <cell r="I956">
            <v>4</v>
          </cell>
        </row>
        <row r="957">
          <cell r="C957">
            <v>601565766</v>
          </cell>
          <cell r="D957" t="str">
            <v>有・池田組　　　　　</v>
          </cell>
          <cell r="E957">
            <v>40142380</v>
          </cell>
          <cell r="F957">
            <v>7544689</v>
          </cell>
          <cell r="G957">
            <v>4667689</v>
          </cell>
          <cell r="H957">
            <v>12212378</v>
          </cell>
          <cell r="I957">
            <v>5</v>
          </cell>
        </row>
        <row r="958">
          <cell r="C958">
            <v>601569580</v>
          </cell>
          <cell r="D958" t="str">
            <v>新潟県観光施設・株　</v>
          </cell>
          <cell r="E958">
            <v>225000000</v>
          </cell>
          <cell r="F958">
            <v>129000000</v>
          </cell>
          <cell r="G958">
            <v>0</v>
          </cell>
          <cell r="H958">
            <v>129000000</v>
          </cell>
          <cell r="I958">
            <v>3</v>
          </cell>
        </row>
        <row r="959">
          <cell r="C959">
            <v>601774347</v>
          </cell>
          <cell r="D959" t="str">
            <v>江口　忠治　　　　　</v>
          </cell>
          <cell r="E959">
            <v>16320000</v>
          </cell>
          <cell r="F959">
            <v>3000000</v>
          </cell>
          <cell r="G959">
            <v>0</v>
          </cell>
          <cell r="H959">
            <v>3000000</v>
          </cell>
          <cell r="I959">
            <v>3</v>
          </cell>
        </row>
        <row r="960">
          <cell r="C960">
            <v>602380389</v>
          </cell>
          <cell r="D960" t="str">
            <v>杉本　健一　　　　　</v>
          </cell>
          <cell r="E960">
            <v>37324681</v>
          </cell>
          <cell r="F960">
            <v>28000000</v>
          </cell>
          <cell r="G960">
            <v>0</v>
          </cell>
          <cell r="H960">
            <v>28000000</v>
          </cell>
          <cell r="I960">
            <v>4</v>
          </cell>
        </row>
        <row r="961">
          <cell r="C961">
            <v>601571580</v>
          </cell>
          <cell r="D961" t="str">
            <v>株・佐藤製作所　　　</v>
          </cell>
          <cell r="E961">
            <v>1748223732</v>
          </cell>
          <cell r="F961">
            <v>202000000</v>
          </cell>
          <cell r="G961" t="str">
            <v/>
          </cell>
          <cell r="H961" t="e">
            <v>#VALUE!</v>
          </cell>
          <cell r="I961">
            <v>3</v>
          </cell>
        </row>
        <row r="962">
          <cell r="C962">
            <v>601571851</v>
          </cell>
          <cell r="D962" t="str">
            <v>資・山吉商店　　　　</v>
          </cell>
          <cell r="E962">
            <v>2300000</v>
          </cell>
          <cell r="F962">
            <v>2000000</v>
          </cell>
          <cell r="G962">
            <v>0</v>
          </cell>
          <cell r="H962">
            <v>2000000</v>
          </cell>
          <cell r="I962">
            <v>3</v>
          </cell>
        </row>
        <row r="963">
          <cell r="C963">
            <v>601571895</v>
          </cell>
          <cell r="D963" t="str">
            <v>株・ヴイナス河内　　</v>
          </cell>
          <cell r="E963">
            <v>10600862</v>
          </cell>
          <cell r="F963">
            <v>2000000</v>
          </cell>
          <cell r="G963">
            <v>0</v>
          </cell>
          <cell r="H963">
            <v>2000000</v>
          </cell>
          <cell r="I963">
            <v>4</v>
          </cell>
        </row>
        <row r="964">
          <cell r="C964">
            <v>601576714</v>
          </cell>
          <cell r="D964" t="str">
            <v>有・わくい　　　　　</v>
          </cell>
          <cell r="E964">
            <v>39113721</v>
          </cell>
          <cell r="F964">
            <v>20000000</v>
          </cell>
          <cell r="G964">
            <v>0</v>
          </cell>
          <cell r="H964">
            <v>20000000</v>
          </cell>
          <cell r="I964">
            <v>4</v>
          </cell>
        </row>
        <row r="965">
          <cell r="C965">
            <v>601578045</v>
          </cell>
          <cell r="D965" t="str">
            <v>太田　四郎　　　　　</v>
          </cell>
          <cell r="E965">
            <v>2708804</v>
          </cell>
          <cell r="F965">
            <v>2000000</v>
          </cell>
          <cell r="G965">
            <v>0</v>
          </cell>
          <cell r="H965">
            <v>2000000</v>
          </cell>
          <cell r="I965">
            <v>4</v>
          </cell>
        </row>
        <row r="966">
          <cell r="C966">
            <v>601885670</v>
          </cell>
          <cell r="D966" t="str">
            <v>有・小山タイヤ　　　</v>
          </cell>
          <cell r="E966">
            <v>2113403</v>
          </cell>
          <cell r="F966">
            <v>1056702</v>
          </cell>
          <cell r="G966">
            <v>1056701</v>
          </cell>
          <cell r="H966">
            <v>2113403</v>
          </cell>
          <cell r="I966">
            <v>5</v>
          </cell>
        </row>
        <row r="967">
          <cell r="C967">
            <v>602602253</v>
          </cell>
          <cell r="D967" t="str">
            <v>有・カ－ギャラリオカ</v>
          </cell>
          <cell r="E967">
            <v>17391908</v>
          </cell>
          <cell r="F967">
            <v>5984754</v>
          </cell>
          <cell r="G967">
            <v>5080754</v>
          </cell>
          <cell r="H967">
            <v>11065508</v>
          </cell>
          <cell r="I967">
            <v>5</v>
          </cell>
        </row>
        <row r="968">
          <cell r="C968">
            <v>602617547</v>
          </cell>
          <cell r="D968" t="str">
            <v>有・越後一大山　　　</v>
          </cell>
          <cell r="E968">
            <v>259802641</v>
          </cell>
          <cell r="F968">
            <v>94000000</v>
          </cell>
          <cell r="G968">
            <v>0</v>
          </cell>
          <cell r="H968">
            <v>94000000</v>
          </cell>
          <cell r="I968">
            <v>4</v>
          </cell>
        </row>
        <row r="969">
          <cell r="C969">
            <v>601585919</v>
          </cell>
          <cell r="D969" t="str">
            <v>株・ホテルセンチュリ</v>
          </cell>
          <cell r="E969">
            <v>1441524000</v>
          </cell>
          <cell r="F969">
            <v>357000000</v>
          </cell>
          <cell r="G969">
            <v>0</v>
          </cell>
          <cell r="H969">
            <v>357000000</v>
          </cell>
          <cell r="I969">
            <v>3</v>
          </cell>
        </row>
        <row r="970">
          <cell r="C970">
            <v>602753264</v>
          </cell>
          <cell r="D970" t="str">
            <v>株・山弘建設　　　　</v>
          </cell>
          <cell r="E970">
            <v>13822000</v>
          </cell>
          <cell r="F970">
            <v>6000000</v>
          </cell>
          <cell r="G970">
            <v>0</v>
          </cell>
          <cell r="H970">
            <v>6000000</v>
          </cell>
          <cell r="I970">
            <v>3</v>
          </cell>
        </row>
        <row r="971">
          <cell r="C971">
            <v>602896980</v>
          </cell>
          <cell r="D971" t="str">
            <v>株・ウイング　　　　</v>
          </cell>
          <cell r="E971">
            <v>156802112</v>
          </cell>
          <cell r="F971">
            <v>47000000</v>
          </cell>
          <cell r="G971">
            <v>0</v>
          </cell>
          <cell r="H971">
            <v>47000000</v>
          </cell>
          <cell r="I971">
            <v>4</v>
          </cell>
        </row>
        <row r="972">
          <cell r="C972">
            <v>601591939</v>
          </cell>
          <cell r="D972" t="str">
            <v>佐藤　不二夫　　　　</v>
          </cell>
          <cell r="E972">
            <v>1608896</v>
          </cell>
          <cell r="F972">
            <v>1000000</v>
          </cell>
          <cell r="G972">
            <v>0</v>
          </cell>
          <cell r="H972">
            <v>1000000</v>
          </cell>
          <cell r="I972">
            <v>4</v>
          </cell>
        </row>
        <row r="973">
          <cell r="C973">
            <v>601592012</v>
          </cell>
          <cell r="D973" t="str">
            <v>資・山七沖川商店　　</v>
          </cell>
          <cell r="E973">
            <v>59549000</v>
          </cell>
          <cell r="F973">
            <v>10000000</v>
          </cell>
          <cell r="G973">
            <v>0</v>
          </cell>
          <cell r="H973">
            <v>10000000</v>
          </cell>
          <cell r="I973">
            <v>4</v>
          </cell>
        </row>
        <row r="974">
          <cell r="C974">
            <v>601592590</v>
          </cell>
          <cell r="D974" t="str">
            <v>溝口　勇　　　　　　</v>
          </cell>
          <cell r="E974">
            <v>8038000</v>
          </cell>
          <cell r="F974">
            <v>1000000</v>
          </cell>
          <cell r="G974">
            <v>0</v>
          </cell>
          <cell r="H974">
            <v>1000000</v>
          </cell>
          <cell r="I974">
            <v>4</v>
          </cell>
        </row>
        <row r="975">
          <cell r="C975">
            <v>601593020</v>
          </cell>
          <cell r="D975" t="str">
            <v>加藤　孝　　　　　　</v>
          </cell>
          <cell r="E975">
            <v>7000000</v>
          </cell>
          <cell r="F975">
            <v>7000000</v>
          </cell>
          <cell r="G975">
            <v>0</v>
          </cell>
          <cell r="H975">
            <v>7000000</v>
          </cell>
          <cell r="I975">
            <v>4</v>
          </cell>
        </row>
        <row r="976">
          <cell r="C976">
            <v>601593813</v>
          </cell>
          <cell r="D976" t="str">
            <v>黒滝　良二　　　　　</v>
          </cell>
          <cell r="E976">
            <v>2683202</v>
          </cell>
          <cell r="F976">
            <v>2000000</v>
          </cell>
          <cell r="G976">
            <v>0</v>
          </cell>
          <cell r="H976">
            <v>2000000</v>
          </cell>
          <cell r="I976">
            <v>4</v>
          </cell>
        </row>
        <row r="977">
          <cell r="C977">
            <v>602533831</v>
          </cell>
          <cell r="D977" t="str">
            <v>松永　亮子　　　　　</v>
          </cell>
          <cell r="E977">
            <v>10002745</v>
          </cell>
          <cell r="F977">
            <v>1000000</v>
          </cell>
          <cell r="G977">
            <v>0</v>
          </cell>
          <cell r="H977">
            <v>1000000</v>
          </cell>
          <cell r="I977">
            <v>3</v>
          </cell>
        </row>
        <row r="978">
          <cell r="C978">
            <v>602585857</v>
          </cell>
          <cell r="D978" t="str">
            <v>株・宮川設計　　　　</v>
          </cell>
          <cell r="E978">
            <v>3870000</v>
          </cell>
          <cell r="F978">
            <v>3000000</v>
          </cell>
          <cell r="G978">
            <v>0</v>
          </cell>
          <cell r="H978">
            <v>3000000</v>
          </cell>
          <cell r="I978">
            <v>4</v>
          </cell>
        </row>
        <row r="979">
          <cell r="C979">
            <v>602688959</v>
          </cell>
          <cell r="D979" t="str">
            <v>有・大商産業　　　　</v>
          </cell>
          <cell r="E979">
            <v>29000000</v>
          </cell>
          <cell r="F979">
            <v>4000000</v>
          </cell>
          <cell r="G979">
            <v>0</v>
          </cell>
          <cell r="H979">
            <v>4000000</v>
          </cell>
          <cell r="I979">
            <v>4</v>
          </cell>
        </row>
        <row r="980">
          <cell r="C980">
            <v>602777080</v>
          </cell>
          <cell r="D980" t="str">
            <v>有・ホテルうの浜館　</v>
          </cell>
          <cell r="E980">
            <v>49516103</v>
          </cell>
          <cell r="F980">
            <v>5000000</v>
          </cell>
          <cell r="G980">
            <v>0</v>
          </cell>
          <cell r="H980">
            <v>5000000</v>
          </cell>
          <cell r="I980">
            <v>3</v>
          </cell>
        </row>
        <row r="981">
          <cell r="C981">
            <v>603609145</v>
          </cell>
          <cell r="D981" t="str">
            <v>オ－ア－ルタイムホン</v>
          </cell>
          <cell r="E981">
            <v>0</v>
          </cell>
          <cell r="F981">
            <v>0</v>
          </cell>
          <cell r="G981">
            <v>0</v>
          </cell>
          <cell r="H981">
            <v>0</v>
          </cell>
          <cell r="I981" t="str">
            <v/>
          </cell>
        </row>
      </sheetData>
      <sheetData sheetId="1" refreshError="1"/>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Set>
  </externalBook>
</externalLink>
</file>

<file path=xl/externalLinks/externalLink3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札幌_修正BS"/>
      <sheetName val="3-8"/>
      <sheetName val="工作清单"/>
      <sheetName val="合同评审项目 "/>
      <sheetName val="Sheet3"/>
      <sheetName val="552442 人力节省"/>
      <sheetName val="合同评审项目_"/>
      <sheetName val="552442_人力节省"/>
      <sheetName val="個別貸引"/>
    </sheetNames>
    <sheetDataSet>
      <sheetData sheetId="0" refreshError="1">
        <row r="2">
          <cell r="B2">
            <v>0</v>
          </cell>
        </row>
        <row r="3">
          <cell r="C3" t="str">
            <v>資産の部</v>
          </cell>
        </row>
        <row r="4">
          <cell r="C4" t="str">
            <v>勘定科目</v>
          </cell>
          <cell r="D4" t="str">
            <v>5期(H14/12)</v>
          </cell>
          <cell r="E4" t="str">
            <v>Check</v>
          </cell>
          <cell r="F4" t="str">
            <v>修正額</v>
          </cell>
          <cell r="G4" t="str">
            <v>修正後</v>
          </cell>
          <cell r="H4">
            <v>0</v>
          </cell>
          <cell r="I4" t="str">
            <v>修正内容</v>
          </cell>
          <cell r="J4" t="str">
            <v>検討手続き</v>
          </cell>
        </row>
        <row r="5">
          <cell r="B5" t="str">
            <v>流動資産</v>
          </cell>
          <cell r="C5">
            <v>0</v>
          </cell>
          <cell r="D5">
            <v>23320405</v>
          </cell>
          <cell r="E5">
            <v>0</v>
          </cell>
          <cell r="F5">
            <v>-5191211.5</v>
          </cell>
          <cell r="G5">
            <v>34098917.421999998</v>
          </cell>
        </row>
        <row r="6">
          <cell r="C6" t="str">
            <v>現金預金</v>
          </cell>
          <cell r="D6">
            <v>6934420</v>
          </cell>
          <cell r="E6" t="str">
            <v>○</v>
          </cell>
          <cell r="F6">
            <v>0</v>
          </cell>
          <cell r="G6">
            <v>3637289.5</v>
          </cell>
          <cell r="H6">
            <v>0</v>
          </cell>
          <cell r="I6" t="str">
            <v>-</v>
          </cell>
        </row>
        <row r="7">
          <cell r="C7" t="str">
            <v>売掛金</v>
          </cell>
          <cell r="D7">
            <v>0</v>
          </cell>
          <cell r="E7">
            <v>0</v>
          </cell>
          <cell r="F7">
            <v>-2820</v>
          </cell>
          <cell r="G7">
            <v>1473959.9</v>
          </cell>
          <cell r="H7">
            <v>0</v>
          </cell>
          <cell r="I7" t="str">
            <v>期日延長手形評価減</v>
          </cell>
        </row>
        <row r="8">
          <cell r="C8" t="str">
            <v>有価証券</v>
          </cell>
          <cell r="D8">
            <v>0</v>
          </cell>
          <cell r="E8" t="str">
            <v>○</v>
          </cell>
          <cell r="F8">
            <v>-5461</v>
          </cell>
          <cell r="G8">
            <v>25491942.182999998</v>
          </cell>
          <cell r="H8">
            <v>0</v>
          </cell>
          <cell r="I8" t="str">
            <v>-</v>
          </cell>
        </row>
        <row r="9">
          <cell r="C9" t="str">
            <v>商品</v>
          </cell>
          <cell r="D9">
            <v>174826</v>
          </cell>
          <cell r="E9" t="str">
            <v>○</v>
          </cell>
          <cell r="F9">
            <v>0</v>
          </cell>
          <cell r="G9">
            <v>0</v>
          </cell>
          <cell r="H9">
            <v>0</v>
          </cell>
          <cell r="I9" t="str">
            <v>-</v>
          </cell>
        </row>
        <row r="10">
          <cell r="C10" t="str">
            <v>貸付金</v>
          </cell>
          <cell r="D10">
            <v>0</v>
          </cell>
          <cell r="E10">
            <v>0</v>
          </cell>
          <cell r="F10">
            <v>0</v>
          </cell>
          <cell r="G10">
            <v>532949.19999999995</v>
          </cell>
          <cell r="H10">
            <v>0</v>
          </cell>
          <cell r="I10" t="str">
            <v>-</v>
          </cell>
        </row>
        <row r="11">
          <cell r="C11" t="str">
            <v>仮払金</v>
          </cell>
          <cell r="D11">
            <v>30000</v>
          </cell>
          <cell r="E11">
            <v>0</v>
          </cell>
          <cell r="F11">
            <v>-194174</v>
          </cell>
          <cell r="G11">
            <v>186000.43900000001</v>
          </cell>
          <cell r="H11">
            <v>0</v>
          </cell>
          <cell r="I11" t="str">
            <v>-</v>
          </cell>
        </row>
        <row r="12">
          <cell r="C12" t="str">
            <v>前払費用</v>
          </cell>
          <cell r="D12">
            <v>0</v>
          </cell>
          <cell r="E12" t="str">
            <v>○</v>
          </cell>
          <cell r="F12">
            <v>-4551918</v>
          </cell>
          <cell r="G12">
            <v>1971292</v>
          </cell>
          <cell r="H12">
            <v>0</v>
          </cell>
          <cell r="I12" t="str">
            <v>-</v>
          </cell>
        </row>
        <row r="13">
          <cell r="C13" t="str">
            <v>未収入金</v>
          </cell>
          <cell r="D13">
            <v>16344159</v>
          </cell>
          <cell r="E13" t="str">
            <v>○</v>
          </cell>
          <cell r="F13">
            <v>0</v>
          </cell>
          <cell r="G13">
            <v>87589.6</v>
          </cell>
          <cell r="H13">
            <v>0</v>
          </cell>
          <cell r="I13" t="str">
            <v>-</v>
          </cell>
        </row>
        <row r="14">
          <cell r="C14" t="str">
            <v>未収収益</v>
          </cell>
          <cell r="D14">
            <v>0</v>
          </cell>
          <cell r="E14">
            <v>0</v>
          </cell>
          <cell r="F14">
            <v>0</v>
          </cell>
          <cell r="G14">
            <v>22000</v>
          </cell>
          <cell r="H14">
            <v>0</v>
          </cell>
          <cell r="I14" t="str">
            <v>-</v>
          </cell>
        </row>
        <row r="15">
          <cell r="C15" t="str">
            <v>貸倒引当金</v>
          </cell>
          <cell r="D15">
            <v>-163000</v>
          </cell>
          <cell r="E15" t="str">
            <v>○</v>
          </cell>
          <cell r="F15">
            <v>0</v>
          </cell>
          <cell r="G15">
            <v>64815.1</v>
          </cell>
          <cell r="H15">
            <v>0</v>
          </cell>
          <cell r="I15" t="str">
            <v>-</v>
          </cell>
        </row>
        <row r="16">
          <cell r="D16">
            <v>0</v>
          </cell>
          <cell r="E16">
            <v>0</v>
          </cell>
          <cell r="F16">
            <v>0</v>
          </cell>
          <cell r="G16">
            <v>0</v>
          </cell>
        </row>
        <row r="17">
          <cell r="B17" t="str">
            <v>固定資産</v>
          </cell>
          <cell r="C17">
            <v>0</v>
          </cell>
          <cell r="D17">
            <v>126000</v>
          </cell>
          <cell r="E17">
            <v>0</v>
          </cell>
          <cell r="F17">
            <v>-22588291.618000001</v>
          </cell>
          <cell r="G17">
            <v>5588190.8149999976</v>
          </cell>
        </row>
        <row r="18">
          <cell r="B18" t="str">
            <v>有形固定資産</v>
          </cell>
          <cell r="C18">
            <v>0</v>
          </cell>
          <cell r="D18">
            <v>0</v>
          </cell>
          <cell r="E18">
            <v>0</v>
          </cell>
          <cell r="F18">
            <v>-11757630.000000002</v>
          </cell>
          <cell r="G18">
            <v>3090596.14</v>
          </cell>
        </row>
        <row r="19">
          <cell r="C19" t="str">
            <v>土地</v>
          </cell>
          <cell r="D19">
            <v>0</v>
          </cell>
          <cell r="E19">
            <v>0</v>
          </cell>
          <cell r="F19">
            <v>-8175081</v>
          </cell>
          <cell r="G19">
            <v>3045710.4</v>
          </cell>
          <cell r="H19">
            <v>0</v>
          </cell>
          <cell r="I19" t="str">
            <v>-</v>
          </cell>
        </row>
        <row r="20">
          <cell r="C20" t="str">
            <v>建物</v>
          </cell>
          <cell r="D20">
            <v>0</v>
          </cell>
          <cell r="E20">
            <v>0</v>
          </cell>
          <cell r="F20">
            <v>-3548901.4</v>
          </cell>
          <cell r="G20">
            <v>0</v>
          </cell>
          <cell r="H20">
            <v>0</v>
          </cell>
          <cell r="I20" t="str">
            <v>-</v>
          </cell>
        </row>
        <row r="21">
          <cell r="C21" t="str">
            <v>借地権</v>
          </cell>
          <cell r="D21">
            <v>0</v>
          </cell>
          <cell r="E21">
            <v>0</v>
          </cell>
          <cell r="F21">
            <v>-6612.3</v>
          </cell>
          <cell r="G21">
            <v>0</v>
          </cell>
          <cell r="H21">
            <v>0</v>
          </cell>
          <cell r="I21" t="str">
            <v>鑑定評価額との対比をわかりやすくするために有形固定資産に計上している。</v>
          </cell>
        </row>
        <row r="22">
          <cell r="C22" t="str">
            <v>設備造作</v>
          </cell>
          <cell r="D22">
            <v>0</v>
          </cell>
          <cell r="E22">
            <v>0</v>
          </cell>
          <cell r="F22">
            <v>-20854.8</v>
          </cell>
          <cell r="G22">
            <v>7075.24</v>
          </cell>
          <cell r="H22">
            <v>0</v>
          </cell>
          <cell r="I22" t="str">
            <v>-</v>
          </cell>
        </row>
        <row r="23">
          <cell r="C23" t="str">
            <v>車両運搬具</v>
          </cell>
          <cell r="D23">
            <v>0</v>
          </cell>
          <cell r="E23">
            <v>0</v>
          </cell>
          <cell r="F23">
            <v>-617</v>
          </cell>
          <cell r="G23">
            <v>587.29999999999995</v>
          </cell>
          <cell r="H23">
            <v>0</v>
          </cell>
          <cell r="I23" t="str">
            <v>償却済資産評価減</v>
          </cell>
        </row>
        <row r="24">
          <cell r="C24" t="str">
            <v>什器備品</v>
          </cell>
          <cell r="D24">
            <v>0</v>
          </cell>
          <cell r="E24">
            <v>0</v>
          </cell>
          <cell r="F24">
            <v>-5563.5</v>
          </cell>
          <cell r="G24">
            <v>37221.199999999997</v>
          </cell>
          <cell r="H24">
            <v>0</v>
          </cell>
          <cell r="I24" t="str">
            <v>償却済資産評価減</v>
          </cell>
        </row>
        <row r="25">
          <cell r="D25">
            <v>0</v>
          </cell>
          <cell r="E25">
            <v>0</v>
          </cell>
          <cell r="F25">
            <v>0</v>
          </cell>
          <cell r="G25">
            <v>0</v>
          </cell>
        </row>
        <row r="26">
          <cell r="B26" t="str">
            <v>無形固定資産</v>
          </cell>
          <cell r="C26">
            <v>0</v>
          </cell>
          <cell r="D26">
            <v>0</v>
          </cell>
          <cell r="E26">
            <v>0</v>
          </cell>
          <cell r="F26">
            <v>-82421.100000000006</v>
          </cell>
          <cell r="G26">
            <v>3366</v>
          </cell>
        </row>
        <row r="27">
          <cell r="C27" t="str">
            <v>（借地権）</v>
          </cell>
          <cell r="D27" t="str">
            <v>(  0  )</v>
          </cell>
          <cell r="E27">
            <v>0</v>
          </cell>
          <cell r="F27">
            <v>-76316.100000000006</v>
          </cell>
          <cell r="G27">
            <v>0</v>
          </cell>
        </row>
        <row r="28">
          <cell r="C28" t="str">
            <v>電話加入権</v>
          </cell>
          <cell r="D28">
            <v>0</v>
          </cell>
          <cell r="E28">
            <v>0</v>
          </cell>
          <cell r="F28">
            <v>-6105</v>
          </cell>
          <cell r="G28">
            <v>3366</v>
          </cell>
          <cell r="H28">
            <v>0</v>
          </cell>
          <cell r="I28" t="str">
            <v>売買可能額に評価替</v>
          </cell>
        </row>
        <row r="29">
          <cell r="C29" t="str">
            <v>賃借権</v>
          </cell>
          <cell r="D29">
            <v>0</v>
          </cell>
          <cell r="E29">
            <v>0</v>
          </cell>
          <cell r="F29">
            <v>0</v>
          </cell>
          <cell r="G29">
            <v>0</v>
          </cell>
        </row>
        <row r="30">
          <cell r="D30">
            <v>0</v>
          </cell>
          <cell r="E30">
            <v>0</v>
          </cell>
          <cell r="F30">
            <v>0</v>
          </cell>
          <cell r="G30">
            <v>0</v>
          </cell>
        </row>
        <row r="31">
          <cell r="B31" t="str">
            <v>投資等</v>
          </cell>
          <cell r="C31">
            <v>0</v>
          </cell>
          <cell r="D31">
            <v>126000</v>
          </cell>
          <cell r="E31">
            <v>0</v>
          </cell>
          <cell r="F31">
            <v>-10748240.518000001</v>
          </cell>
          <cell r="G31">
            <v>2494228.6749999989</v>
          </cell>
        </row>
        <row r="32">
          <cell r="C32" t="str">
            <v>子会社株式</v>
          </cell>
          <cell r="D32">
            <v>0</v>
          </cell>
          <cell r="E32" t="str">
            <v>○</v>
          </cell>
          <cell r="F32">
            <v>-3753</v>
          </cell>
          <cell r="G32">
            <v>1228705.993</v>
          </cell>
          <cell r="H32">
            <v>0</v>
          </cell>
          <cell r="I32" t="str">
            <v>評価減</v>
          </cell>
        </row>
        <row r="33">
          <cell r="C33" t="str">
            <v>出資金</v>
          </cell>
          <cell r="D33">
            <v>0</v>
          </cell>
          <cell r="E33" t="str">
            <v>○</v>
          </cell>
          <cell r="F33">
            <v>-44445</v>
          </cell>
          <cell r="G33">
            <v>0</v>
          </cell>
          <cell r="H33">
            <v>0</v>
          </cell>
          <cell r="I33" t="str">
            <v>評価減</v>
          </cell>
        </row>
        <row r="34">
          <cell r="C34" t="str">
            <v>保証金</v>
          </cell>
          <cell r="D34">
            <v>0</v>
          </cell>
          <cell r="E34">
            <v>0</v>
          </cell>
          <cell r="F34">
            <v>0</v>
          </cell>
          <cell r="G34">
            <v>340</v>
          </cell>
          <cell r="H34">
            <v>0</v>
          </cell>
          <cell r="I34" t="str">
            <v>-</v>
          </cell>
        </row>
        <row r="35">
          <cell r="C35" t="str">
            <v>敷金</v>
          </cell>
          <cell r="D35">
            <v>0</v>
          </cell>
          <cell r="E35">
            <v>0</v>
          </cell>
          <cell r="F35">
            <v>-9470839.7180000003</v>
          </cell>
          <cell r="G35">
            <v>676603.38199999998</v>
          </cell>
          <cell r="H35">
            <v>0</v>
          </cell>
          <cell r="I35" t="str">
            <v>評価減</v>
          </cell>
        </row>
        <row r="36">
          <cell r="C36" t="str">
            <v>掛金</v>
          </cell>
          <cell r="D36">
            <v>0</v>
          </cell>
          <cell r="E36">
            <v>0</v>
          </cell>
          <cell r="F36">
            <v>-399563.8</v>
          </cell>
          <cell r="G36">
            <v>463891.3</v>
          </cell>
          <cell r="H36">
            <v>0</v>
          </cell>
          <cell r="I36" t="str">
            <v>評価減</v>
          </cell>
        </row>
      </sheetData>
      <sheetData sheetId="1"/>
      <sheetData sheetId="2">
        <row r="2">
          <cell r="B2">
            <v>0</v>
          </cell>
        </row>
      </sheetData>
      <sheetData sheetId="3">
        <row r="2">
          <cell r="B2">
            <v>0</v>
          </cell>
        </row>
      </sheetData>
      <sheetData sheetId="4"/>
      <sheetData sheetId="5" refreshError="1"/>
      <sheetData sheetId="6">
        <row r="2">
          <cell r="B2">
            <v>0</v>
          </cell>
        </row>
      </sheetData>
      <sheetData sheetId="7"/>
      <sheetData sheetId="8"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Investment for unit line"/>
      <sheetName val="Equipment Req Plan"/>
      <sheetName val="员工年资"/>
      <sheetName val="3-8"/>
      <sheetName val="Sheet1"/>
      <sheetName val="公式引用"/>
      <sheetName val="Investment_for_unit_line"/>
      <sheetName val="Equipment_Req_Plan"/>
      <sheetName val="sortin原因,项目分类"/>
    </sheetNames>
    <sheetDataSet>
      <sheetData sheetId="0"/>
      <sheetData sheetId="1">
        <row r="2">
          <cell r="M2" t="str">
            <v>USD</v>
          </cell>
        </row>
      </sheetData>
      <sheetData sheetId="2" refreshError="1"/>
      <sheetData sheetId="3" refreshError="1"/>
      <sheetData sheetId="4" refreshError="1"/>
      <sheetData sheetId="5" refreshError="1"/>
      <sheetData sheetId="6"/>
      <sheetData sheetId="7">
        <row r="2">
          <cell r="M2" t="str">
            <v>USD</v>
          </cell>
        </row>
      </sheetData>
      <sheetData sheetId="8"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
      <sheetName val="PETREND"/>
      <sheetName val="pe"/>
      <sheetName val="IETREND"/>
      <sheetName val="ie"/>
      <sheetName val="METREND"/>
      <sheetName val="ME"/>
      <sheetName val="Projectcode"/>
      <sheetName val="Numbertrackinglist"/>
      <sheetName val="0612B0609017-1"/>
      <sheetName val="CD_Data"/>
      <sheetName val="Cu AlFoil改善措施"/>
      <sheetName val="岗位津贴数据源"/>
      <sheetName val="高温数据源"/>
      <sheetName val="Sheet1"/>
      <sheetName val="Sheet2"/>
      <sheetName val="Cu_AlFoil改善措施"/>
      <sheetName val="Capacity Retention_Data"/>
      <sheetName val="Stand Capacity Retention_Data"/>
      <sheetName val="Database"/>
      <sheetName val="ISRDATA"/>
    </sheetNames>
    <sheetDataSet>
      <sheetData sheetId="0" refreshError="1"/>
      <sheetData sheetId="1" refreshError="1"/>
      <sheetData sheetId="2" refreshError="1">
        <row r="2">
          <cell r="G2" t="str">
            <v>Action</v>
          </cell>
          <cell r="J2" t="str">
            <v>Action Owner</v>
          </cell>
          <cell r="K2" t="str">
            <v>TIMELINE</v>
          </cell>
          <cell r="L2" t="str">
            <v>ACTUAL TIME</v>
          </cell>
          <cell r="M2" t="str">
            <v>STATUS</v>
          </cell>
          <cell r="N2" t="str">
            <v>monthLine</v>
          </cell>
          <cell r="O2" t="str">
            <v>ActualMonth</v>
          </cell>
        </row>
      </sheetData>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25PIECE"/>
    </sheetNames>
    <sheetDataSet>
      <sheetData sheetId="0">
        <row r="10">
          <cell r="O10">
            <v>3</v>
          </cell>
          <cell r="P10">
            <v>1</v>
          </cell>
          <cell r="Q10">
            <v>1</v>
          </cell>
          <cell r="R10">
            <v>1</v>
          </cell>
          <cell r="S10">
            <v>1</v>
          </cell>
          <cell r="T10">
            <v>1</v>
          </cell>
          <cell r="U10">
            <v>1</v>
          </cell>
          <cell r="V10">
            <v>1</v>
          </cell>
          <cell r="W10">
            <v>1</v>
          </cell>
          <cell r="X10">
            <v>1</v>
          </cell>
          <cell r="Y10">
            <v>1</v>
          </cell>
          <cell r="Z10">
            <v>1</v>
          </cell>
          <cell r="AA10">
            <v>1</v>
          </cell>
          <cell r="AB10">
            <v>1</v>
          </cell>
          <cell r="AC10">
            <v>1</v>
          </cell>
          <cell r="AD10">
            <v>1</v>
          </cell>
          <cell r="AE10">
            <v>1</v>
          </cell>
          <cell r="AF10">
            <v>1</v>
          </cell>
          <cell r="AG10">
            <v>1</v>
          </cell>
          <cell r="AH10">
            <v>1</v>
          </cell>
          <cell r="AI10">
            <v>1</v>
          </cell>
          <cell r="AJ10">
            <v>1</v>
          </cell>
          <cell r="AK10">
            <v>1</v>
          </cell>
          <cell r="AL10">
            <v>1</v>
          </cell>
          <cell r="AM10">
            <v>1</v>
          </cell>
        </row>
      </sheetData>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2"/>
      <sheetName val="新万人事资料"/>
      <sheetName val="新万辞职"/>
      <sheetName val="新万人事资料 (2)"/>
      <sheetName val="da"/>
      <sheetName val="#REF"/>
      <sheetName val="Fading_Data"/>
      <sheetName val="新万人事资料_(2)"/>
    </sheetNames>
    <sheetDataSet>
      <sheetData sheetId="0" refreshError="1">
        <row r="2">
          <cell r="C2" t="str">
            <v>郑佳欣</v>
          </cell>
          <cell r="D2" t="str">
            <v>女</v>
          </cell>
          <cell r="E2">
            <v>31482</v>
          </cell>
          <cell r="F2" t="str">
            <v>410526198603112364</v>
          </cell>
        </row>
        <row r="3">
          <cell r="C3" t="str">
            <v>余仪长</v>
          </cell>
          <cell r="D3" t="str">
            <v>男</v>
          </cell>
          <cell r="E3">
            <v>31202</v>
          </cell>
          <cell r="F3" t="str">
            <v>362137198506201934</v>
          </cell>
        </row>
        <row r="4">
          <cell r="C4" t="str">
            <v>高亚振</v>
          </cell>
          <cell r="D4" t="str">
            <v>女</v>
          </cell>
          <cell r="E4">
            <v>30474</v>
          </cell>
          <cell r="F4" t="str">
            <v>411303830607392</v>
          </cell>
        </row>
        <row r="5">
          <cell r="C5" t="str">
            <v>余小芬</v>
          </cell>
          <cell r="D5" t="str">
            <v>女</v>
          </cell>
          <cell r="E5">
            <v>31676</v>
          </cell>
          <cell r="F5" t="str">
            <v>360735198609211921</v>
          </cell>
        </row>
        <row r="6">
          <cell r="C6" t="str">
            <v>邵会萍</v>
          </cell>
          <cell r="D6" t="str">
            <v>女</v>
          </cell>
          <cell r="E6">
            <v>30226</v>
          </cell>
          <cell r="F6" t="str">
            <v>610528198210028647</v>
          </cell>
        </row>
        <row r="7">
          <cell r="C7" t="str">
            <v>卜许敏</v>
          </cell>
          <cell r="D7" t="str">
            <v>女</v>
          </cell>
          <cell r="E7">
            <v>29518</v>
          </cell>
          <cell r="F7" t="str">
            <v>410223801024502</v>
          </cell>
        </row>
        <row r="8">
          <cell r="C8" t="str">
            <v>胡少婵</v>
          </cell>
          <cell r="D8" t="str">
            <v>女</v>
          </cell>
          <cell r="E8">
            <v>30801</v>
          </cell>
          <cell r="F8" t="str">
            <v>410526198404292382</v>
          </cell>
        </row>
        <row r="9">
          <cell r="C9" t="str">
            <v>陈小丽</v>
          </cell>
          <cell r="D9" t="str">
            <v>女</v>
          </cell>
          <cell r="E9">
            <v>31007</v>
          </cell>
          <cell r="F9" t="str">
            <v>411324198411210928</v>
          </cell>
        </row>
        <row r="10">
          <cell r="C10" t="str">
            <v>余成玉</v>
          </cell>
          <cell r="D10" t="str">
            <v>女</v>
          </cell>
          <cell r="E10">
            <v>31477</v>
          </cell>
          <cell r="F10" t="str">
            <v>421181198603061929</v>
          </cell>
        </row>
        <row r="11">
          <cell r="C11" t="str">
            <v>彭凤杰</v>
          </cell>
          <cell r="D11" t="str">
            <v>女</v>
          </cell>
          <cell r="E11">
            <v>29264</v>
          </cell>
          <cell r="F11" t="str">
            <v>412721800213182</v>
          </cell>
        </row>
        <row r="12">
          <cell r="C12" t="str">
            <v>李永霞</v>
          </cell>
          <cell r="D12" t="str">
            <v>女</v>
          </cell>
          <cell r="E12">
            <v>31722</v>
          </cell>
          <cell r="F12" t="str">
            <v>412721198611061422</v>
          </cell>
        </row>
        <row r="13">
          <cell r="C13" t="str">
            <v>闫会霞</v>
          </cell>
          <cell r="D13" t="str">
            <v>女</v>
          </cell>
          <cell r="E13">
            <v>31453</v>
          </cell>
          <cell r="F13" t="str">
            <v>412721198602101867</v>
          </cell>
        </row>
        <row r="14">
          <cell r="C14" t="str">
            <v>肖银华</v>
          </cell>
          <cell r="D14" t="str">
            <v>女</v>
          </cell>
          <cell r="E14">
            <v>30848</v>
          </cell>
          <cell r="F14" t="str">
            <v>412722840615252</v>
          </cell>
        </row>
        <row r="15">
          <cell r="C15" t="str">
            <v>李合平</v>
          </cell>
          <cell r="D15" t="str">
            <v>女</v>
          </cell>
          <cell r="E15">
            <v>29758</v>
          </cell>
          <cell r="F15" t="str">
            <v>430122810621552</v>
          </cell>
        </row>
        <row r="16">
          <cell r="C16" t="str">
            <v>高玉丽</v>
          </cell>
          <cell r="D16" t="str">
            <v>女</v>
          </cell>
          <cell r="E16">
            <v>31100</v>
          </cell>
          <cell r="F16" t="str">
            <v>410223198502226068</v>
          </cell>
        </row>
        <row r="17">
          <cell r="C17" t="str">
            <v>秦彩利</v>
          </cell>
          <cell r="D17" t="str">
            <v>女</v>
          </cell>
          <cell r="E17">
            <v>31242</v>
          </cell>
          <cell r="F17" t="str">
            <v>610426198507140025</v>
          </cell>
        </row>
        <row r="18">
          <cell r="C18" t="str">
            <v>张娟娟</v>
          </cell>
          <cell r="D18" t="str">
            <v>女</v>
          </cell>
          <cell r="E18">
            <v>30958</v>
          </cell>
          <cell r="F18" t="str">
            <v>610426198410030022</v>
          </cell>
        </row>
        <row r="19">
          <cell r="C19" t="str">
            <v>张秋亭</v>
          </cell>
          <cell r="D19" t="str">
            <v>女</v>
          </cell>
          <cell r="E19">
            <v>31237</v>
          </cell>
          <cell r="F19" t="str">
            <v>610426198507090021</v>
          </cell>
        </row>
        <row r="20">
          <cell r="C20" t="str">
            <v>余爽</v>
          </cell>
          <cell r="D20" t="str">
            <v>女</v>
          </cell>
          <cell r="E20">
            <v>31689</v>
          </cell>
          <cell r="F20" t="str">
            <v>411303198610043921</v>
          </cell>
        </row>
        <row r="21">
          <cell r="C21" t="str">
            <v>刘林艳</v>
          </cell>
          <cell r="D21" t="str">
            <v>女</v>
          </cell>
          <cell r="E21">
            <v>30232</v>
          </cell>
          <cell r="F21" t="str">
            <v>430522821008882</v>
          </cell>
        </row>
        <row r="22">
          <cell r="C22" t="str">
            <v>李婷婷</v>
          </cell>
          <cell r="D22" t="str">
            <v>女</v>
          </cell>
          <cell r="E22">
            <v>29536</v>
          </cell>
          <cell r="F22" t="str">
            <v>420684198011115028</v>
          </cell>
        </row>
        <row r="23">
          <cell r="C23" t="str">
            <v>胡翠英</v>
          </cell>
          <cell r="D23" t="str">
            <v>女</v>
          </cell>
          <cell r="E23">
            <v>30025</v>
          </cell>
          <cell r="F23" t="str">
            <v>410526820315234</v>
          </cell>
        </row>
        <row r="24">
          <cell r="C24" t="str">
            <v>周庆国</v>
          </cell>
          <cell r="D24" t="str">
            <v>男</v>
          </cell>
          <cell r="E24">
            <v>28706</v>
          </cell>
          <cell r="F24" t="str">
            <v>421023197808040714</v>
          </cell>
        </row>
        <row r="25">
          <cell r="C25" t="str">
            <v>钱彪</v>
          </cell>
          <cell r="D25" t="str">
            <v>男</v>
          </cell>
          <cell r="E25">
            <v>27221</v>
          </cell>
          <cell r="F25" t="str">
            <v>36220219740711151</v>
          </cell>
        </row>
        <row r="26">
          <cell r="C26" t="str">
            <v>付艳玲</v>
          </cell>
          <cell r="D26" t="str">
            <v>女</v>
          </cell>
          <cell r="E26">
            <v>30700</v>
          </cell>
          <cell r="F26" t="str">
            <v>420621198401198943</v>
          </cell>
        </row>
        <row r="27">
          <cell r="C27" t="str">
            <v>李娜</v>
          </cell>
          <cell r="D27" t="str">
            <v>女</v>
          </cell>
          <cell r="E27">
            <v>30222</v>
          </cell>
          <cell r="F27" t="str">
            <v>420621198209288623</v>
          </cell>
        </row>
        <row r="28">
          <cell r="C28" t="str">
            <v>杨宁宁</v>
          </cell>
          <cell r="D28" t="str">
            <v>女</v>
          </cell>
          <cell r="E28">
            <v>30607</v>
          </cell>
          <cell r="F28" t="str">
            <v>610424831018286</v>
          </cell>
        </row>
        <row r="29">
          <cell r="C29" t="str">
            <v>王静</v>
          </cell>
          <cell r="D29" t="str">
            <v>女</v>
          </cell>
          <cell r="E29">
            <v>31393</v>
          </cell>
          <cell r="F29" t="str">
            <v>411303198512124226</v>
          </cell>
        </row>
        <row r="30">
          <cell r="C30" t="str">
            <v>宋丽娜</v>
          </cell>
          <cell r="D30" t="str">
            <v>女</v>
          </cell>
          <cell r="E30">
            <v>31544</v>
          </cell>
          <cell r="F30" t="str">
            <v>41102419860512166</v>
          </cell>
        </row>
        <row r="31">
          <cell r="C31" t="str">
            <v>郭会琴</v>
          </cell>
          <cell r="D31" t="str">
            <v>女</v>
          </cell>
          <cell r="E31">
            <v>31153</v>
          </cell>
          <cell r="F31" t="str">
            <v>412721198506143821</v>
          </cell>
        </row>
        <row r="32">
          <cell r="C32" t="str">
            <v>靳利远</v>
          </cell>
          <cell r="D32" t="str">
            <v>女</v>
          </cell>
          <cell r="E32">
            <v>31380</v>
          </cell>
          <cell r="F32" t="str">
            <v>412721198511294288</v>
          </cell>
        </row>
        <row r="33">
          <cell r="C33" t="str">
            <v>潘玲玲</v>
          </cell>
          <cell r="D33" t="str">
            <v>女</v>
          </cell>
          <cell r="E33">
            <v>31489</v>
          </cell>
          <cell r="F33" t="str">
            <v>411024198603181643</v>
          </cell>
        </row>
        <row r="34">
          <cell r="C34" t="str">
            <v>宋利敬</v>
          </cell>
          <cell r="D34" t="str">
            <v>女</v>
          </cell>
          <cell r="E34">
            <v>31451</v>
          </cell>
          <cell r="F34" t="str">
            <v>411024198602081624</v>
          </cell>
        </row>
        <row r="35">
          <cell r="C35" t="str">
            <v>吴飞飞</v>
          </cell>
          <cell r="D35" t="str">
            <v>女</v>
          </cell>
          <cell r="E35">
            <v>31486</v>
          </cell>
          <cell r="F35" t="str">
            <v>412721198603153845</v>
          </cell>
        </row>
        <row r="36">
          <cell r="C36" t="str">
            <v>张亚丽</v>
          </cell>
          <cell r="D36" t="str">
            <v>女</v>
          </cell>
          <cell r="E36">
            <v>31712</v>
          </cell>
          <cell r="F36" t="str">
            <v>412721198610273845</v>
          </cell>
        </row>
        <row r="37">
          <cell r="C37" t="str">
            <v>张春娜</v>
          </cell>
          <cell r="D37" t="str">
            <v>女</v>
          </cell>
          <cell r="E37">
            <v>31459</v>
          </cell>
          <cell r="F37" t="str">
            <v>412721198602163064</v>
          </cell>
        </row>
        <row r="38">
          <cell r="C38" t="str">
            <v>张丹</v>
          </cell>
          <cell r="D38" t="str">
            <v>女</v>
          </cell>
          <cell r="E38">
            <v>31707</v>
          </cell>
          <cell r="F38" t="str">
            <v>412721198610223864</v>
          </cell>
        </row>
        <row r="39">
          <cell r="C39" t="str">
            <v>王盼</v>
          </cell>
          <cell r="D39" t="str">
            <v>女</v>
          </cell>
          <cell r="E39">
            <v>31071</v>
          </cell>
          <cell r="F39" t="str">
            <v>412721198501240649</v>
          </cell>
        </row>
        <row r="40">
          <cell r="C40" t="str">
            <v>卢卫捧</v>
          </cell>
          <cell r="D40" t="str">
            <v>女</v>
          </cell>
          <cell r="E40">
            <v>30691</v>
          </cell>
          <cell r="F40" t="str">
            <v>412721198401105829</v>
          </cell>
        </row>
        <row r="41">
          <cell r="C41" t="str">
            <v>周永丽</v>
          </cell>
          <cell r="D41" t="str">
            <v>女</v>
          </cell>
          <cell r="E41">
            <v>31653</v>
          </cell>
          <cell r="F41" t="str">
            <v>412721198608293046</v>
          </cell>
        </row>
        <row r="42">
          <cell r="C42" t="str">
            <v>靳书平</v>
          </cell>
          <cell r="D42" t="str">
            <v>女</v>
          </cell>
          <cell r="E42">
            <v>31026</v>
          </cell>
          <cell r="F42" t="str">
            <v>410223198412105561</v>
          </cell>
        </row>
        <row r="43">
          <cell r="C43" t="str">
            <v>张红霞</v>
          </cell>
          <cell r="D43" t="str">
            <v>女</v>
          </cell>
          <cell r="E43">
            <v>29858</v>
          </cell>
          <cell r="F43" t="str">
            <v>410223198109292085</v>
          </cell>
        </row>
        <row r="44">
          <cell r="C44" t="str">
            <v>张卫琴</v>
          </cell>
          <cell r="D44" t="str">
            <v>女</v>
          </cell>
          <cell r="E44">
            <v>31166</v>
          </cell>
          <cell r="F44" t="str">
            <v>412721198504293869</v>
          </cell>
        </row>
        <row r="45">
          <cell r="C45" t="str">
            <v>王亚丽</v>
          </cell>
          <cell r="D45" t="str">
            <v>女</v>
          </cell>
          <cell r="E45">
            <v>31690</v>
          </cell>
          <cell r="F45" t="str">
            <v>412721198610053869</v>
          </cell>
        </row>
        <row r="46">
          <cell r="C46" t="str">
            <v>李树叶</v>
          </cell>
          <cell r="D46" t="str">
            <v>女</v>
          </cell>
          <cell r="E46">
            <v>31048</v>
          </cell>
          <cell r="F46" t="str">
            <v>412721198501013841</v>
          </cell>
        </row>
        <row r="47">
          <cell r="C47" t="str">
            <v>李俊峰</v>
          </cell>
          <cell r="D47" t="str">
            <v>女</v>
          </cell>
          <cell r="E47">
            <v>31449</v>
          </cell>
          <cell r="F47" t="str">
            <v>412721198602063848</v>
          </cell>
        </row>
        <row r="48">
          <cell r="C48" t="str">
            <v>齐曼</v>
          </cell>
          <cell r="D48" t="str">
            <v>女</v>
          </cell>
          <cell r="E48">
            <v>31055</v>
          </cell>
          <cell r="F48" t="str">
            <v>412721198501083444</v>
          </cell>
        </row>
        <row r="49">
          <cell r="C49" t="str">
            <v>袁艳芳</v>
          </cell>
          <cell r="D49" t="str">
            <v>女</v>
          </cell>
          <cell r="E49">
            <v>30229</v>
          </cell>
          <cell r="F49" t="str">
            <v>411024821005002</v>
          </cell>
        </row>
        <row r="50">
          <cell r="C50" t="str">
            <v>周培培</v>
          </cell>
          <cell r="D50" t="str">
            <v>女</v>
          </cell>
          <cell r="E50">
            <v>31575</v>
          </cell>
          <cell r="F50" t="str">
            <v>412721198606123043</v>
          </cell>
        </row>
        <row r="51">
          <cell r="C51" t="str">
            <v>李芳</v>
          </cell>
          <cell r="D51" t="str">
            <v>女</v>
          </cell>
          <cell r="E51">
            <v>31469</v>
          </cell>
          <cell r="F51" t="str">
            <v>412721198602263444</v>
          </cell>
        </row>
        <row r="52">
          <cell r="C52" t="str">
            <v>刘素红</v>
          </cell>
          <cell r="D52" t="str">
            <v>女</v>
          </cell>
          <cell r="E52">
            <v>30146</v>
          </cell>
          <cell r="F52" t="str">
            <v>411024820714008</v>
          </cell>
        </row>
        <row r="53">
          <cell r="C53" t="str">
            <v>何彦平</v>
          </cell>
          <cell r="D53" t="str">
            <v>女</v>
          </cell>
          <cell r="E53">
            <v>31183</v>
          </cell>
          <cell r="F53" t="str">
            <v>410223198505165547</v>
          </cell>
        </row>
        <row r="54">
          <cell r="C54" t="str">
            <v>陈萍</v>
          </cell>
          <cell r="D54" t="str">
            <v>女</v>
          </cell>
          <cell r="E54">
            <v>30903</v>
          </cell>
          <cell r="F54" t="str">
            <v>412721198408093867</v>
          </cell>
        </row>
        <row r="55">
          <cell r="C55" t="str">
            <v>李玲玲</v>
          </cell>
          <cell r="D55" t="str">
            <v>女</v>
          </cell>
          <cell r="E55">
            <v>30837</v>
          </cell>
          <cell r="F55" t="str">
            <v>41022319840604554X</v>
          </cell>
        </row>
        <row r="56">
          <cell r="C56" t="str">
            <v>孙华敏</v>
          </cell>
          <cell r="D56" t="str">
            <v>女</v>
          </cell>
          <cell r="E56">
            <v>30942</v>
          </cell>
          <cell r="F56" t="str">
            <v>412721198409173420</v>
          </cell>
        </row>
        <row r="57">
          <cell r="C57" t="str">
            <v>潘艳杰</v>
          </cell>
          <cell r="D57" t="str">
            <v>女</v>
          </cell>
          <cell r="E57">
            <v>30374</v>
          </cell>
          <cell r="F57" t="str">
            <v>412721830227508</v>
          </cell>
        </row>
        <row r="58">
          <cell r="C58" t="str">
            <v>王丽艳</v>
          </cell>
          <cell r="D58" t="str">
            <v>女</v>
          </cell>
          <cell r="E58">
            <v>31112</v>
          </cell>
          <cell r="F58" t="str">
            <v>412721198503060641</v>
          </cell>
        </row>
        <row r="59">
          <cell r="C59" t="str">
            <v>高利敏</v>
          </cell>
          <cell r="D59" t="str">
            <v>女</v>
          </cell>
          <cell r="E59">
            <v>31070</v>
          </cell>
          <cell r="F59" t="str">
            <v>412721198501233844</v>
          </cell>
        </row>
        <row r="60">
          <cell r="C60" t="str">
            <v>张瑞杰</v>
          </cell>
          <cell r="D60" t="str">
            <v>女</v>
          </cell>
          <cell r="E60">
            <v>30967</v>
          </cell>
          <cell r="F60" t="str">
            <v>410223198410122085</v>
          </cell>
        </row>
        <row r="61">
          <cell r="C61" t="str">
            <v>罗招萍</v>
          </cell>
          <cell r="D61" t="str">
            <v>女</v>
          </cell>
          <cell r="E61">
            <v>31616</v>
          </cell>
          <cell r="F61" t="str">
            <v>522627198607234827</v>
          </cell>
        </row>
        <row r="62">
          <cell r="C62" t="str">
            <v>卢晓丽</v>
          </cell>
          <cell r="D62" t="str">
            <v>女</v>
          </cell>
          <cell r="E62">
            <v>31364</v>
          </cell>
          <cell r="F62" t="str">
            <v>412721198511135826</v>
          </cell>
        </row>
        <row r="63">
          <cell r="C63" t="str">
            <v>田纪红</v>
          </cell>
          <cell r="D63" t="str">
            <v>女</v>
          </cell>
          <cell r="E63">
            <v>31755</v>
          </cell>
          <cell r="F63" t="str">
            <v>412721198612093821</v>
          </cell>
        </row>
        <row r="64">
          <cell r="C64" t="str">
            <v>郭艳丽</v>
          </cell>
          <cell r="D64" t="str">
            <v>女</v>
          </cell>
          <cell r="E64">
            <v>31163</v>
          </cell>
          <cell r="F64" t="str">
            <v>412721198504265446</v>
          </cell>
        </row>
        <row r="65">
          <cell r="C65" t="str">
            <v>周金萍</v>
          </cell>
          <cell r="D65" t="str">
            <v>女</v>
          </cell>
          <cell r="E65">
            <v>29480</v>
          </cell>
          <cell r="F65" t="str">
            <v>511222800916002</v>
          </cell>
        </row>
        <row r="66">
          <cell r="C66" t="str">
            <v>梁红梅</v>
          </cell>
          <cell r="D66" t="str">
            <v>女</v>
          </cell>
          <cell r="E66">
            <v>29039</v>
          </cell>
          <cell r="F66" t="str">
            <v>450122790703454</v>
          </cell>
        </row>
        <row r="67">
          <cell r="C67" t="str">
            <v>祝必凤</v>
          </cell>
          <cell r="D67" t="str">
            <v>女</v>
          </cell>
          <cell r="E67">
            <v>30627</v>
          </cell>
          <cell r="F67" t="str">
            <v>430623198311074845</v>
          </cell>
        </row>
        <row r="68">
          <cell r="C68" t="str">
            <v>廖佩霞</v>
          </cell>
          <cell r="D68" t="str">
            <v>女</v>
          </cell>
          <cell r="E68">
            <v>28397</v>
          </cell>
          <cell r="F68" t="str">
            <v>430122770929604</v>
          </cell>
        </row>
        <row r="69">
          <cell r="C69" t="str">
            <v>刘勤</v>
          </cell>
          <cell r="D69" t="str">
            <v>女</v>
          </cell>
          <cell r="E69">
            <v>28452</v>
          </cell>
          <cell r="F69" t="str">
            <v>512926771123056</v>
          </cell>
        </row>
        <row r="70">
          <cell r="C70" t="str">
            <v>张淑萍</v>
          </cell>
          <cell r="D70" t="str">
            <v>女</v>
          </cell>
          <cell r="E70">
            <v>30185</v>
          </cell>
          <cell r="F70" t="str">
            <v>445222820622006</v>
          </cell>
        </row>
        <row r="71">
          <cell r="C71" t="str">
            <v>王博</v>
          </cell>
          <cell r="D71" t="str">
            <v>女</v>
          </cell>
          <cell r="E71">
            <v>30464</v>
          </cell>
          <cell r="F71" t="str">
            <v>421126198305282227</v>
          </cell>
        </row>
        <row r="72">
          <cell r="C72" t="str">
            <v>龚秋</v>
          </cell>
          <cell r="D72" t="str">
            <v>女</v>
          </cell>
          <cell r="E72">
            <v>31219</v>
          </cell>
          <cell r="F72" t="str">
            <v>432522198506210026</v>
          </cell>
        </row>
        <row r="73">
          <cell r="C73" t="str">
            <v>李志红</v>
          </cell>
          <cell r="D73" t="str">
            <v>女</v>
          </cell>
          <cell r="E73">
            <v>30914</v>
          </cell>
          <cell r="F73" t="str">
            <v>430923198408200023</v>
          </cell>
        </row>
        <row r="74">
          <cell r="C74" t="str">
            <v>郭亚勤</v>
          </cell>
          <cell r="D74" t="str">
            <v>女</v>
          </cell>
          <cell r="E74">
            <v>31104</v>
          </cell>
          <cell r="F74" t="str">
            <v>422129198502260529</v>
          </cell>
        </row>
        <row r="75">
          <cell r="C75" t="str">
            <v>姚超</v>
          </cell>
          <cell r="D75" t="str">
            <v>女</v>
          </cell>
          <cell r="E75">
            <v>29484</v>
          </cell>
          <cell r="F75" t="str">
            <v>420625198009206828</v>
          </cell>
        </row>
        <row r="76">
          <cell r="C76" t="str">
            <v>郑艳杰</v>
          </cell>
          <cell r="D76" t="str">
            <v>女</v>
          </cell>
          <cell r="E76">
            <v>29790</v>
          </cell>
          <cell r="F76" t="str">
            <v>412727810723802</v>
          </cell>
        </row>
        <row r="77">
          <cell r="C77" t="str">
            <v>罗兰华</v>
          </cell>
          <cell r="D77" t="str">
            <v>女</v>
          </cell>
          <cell r="E77">
            <v>30079</v>
          </cell>
          <cell r="F77" t="str">
            <v>430381820508232</v>
          </cell>
        </row>
        <row r="78">
          <cell r="C78" t="str">
            <v>姚莹莹</v>
          </cell>
          <cell r="D78" t="str">
            <v>女</v>
          </cell>
          <cell r="E78">
            <v>31413</v>
          </cell>
          <cell r="F78" t="str">
            <v>420625198601016847</v>
          </cell>
        </row>
        <row r="79">
          <cell r="C79" t="str">
            <v>张菊莲</v>
          </cell>
          <cell r="D79" t="str">
            <v>女</v>
          </cell>
          <cell r="E79">
            <v>28843</v>
          </cell>
          <cell r="F79" t="str">
            <v>360421781219102</v>
          </cell>
        </row>
        <row r="80">
          <cell r="C80" t="str">
            <v>彭银艳</v>
          </cell>
          <cell r="D80" t="str">
            <v>女</v>
          </cell>
          <cell r="E80">
            <v>31238</v>
          </cell>
          <cell r="F80" t="str">
            <v>412727198507100725</v>
          </cell>
        </row>
        <row r="81">
          <cell r="C81" t="str">
            <v>丁慧</v>
          </cell>
          <cell r="D81" t="str">
            <v>女</v>
          </cell>
          <cell r="E81">
            <v>31079</v>
          </cell>
          <cell r="F81" t="str">
            <v>36220119850201024X</v>
          </cell>
        </row>
        <row r="82">
          <cell r="C82" t="str">
            <v>莫晓芳</v>
          </cell>
          <cell r="D82" t="str">
            <v>女</v>
          </cell>
          <cell r="E82">
            <v>31451</v>
          </cell>
          <cell r="F82" t="str">
            <v>432522198602084082</v>
          </cell>
        </row>
        <row r="83">
          <cell r="C83" t="str">
            <v>彭利</v>
          </cell>
          <cell r="D83" t="str">
            <v>女</v>
          </cell>
          <cell r="E83">
            <v>30124</v>
          </cell>
          <cell r="F83" t="str">
            <v>430124820622402</v>
          </cell>
        </row>
        <row r="84">
          <cell r="C84" t="str">
            <v>危绪结</v>
          </cell>
          <cell r="D84" t="str">
            <v>男</v>
          </cell>
          <cell r="E84">
            <v>29978</v>
          </cell>
          <cell r="F84" t="str">
            <v>342921198201272318</v>
          </cell>
        </row>
        <row r="85">
          <cell r="C85" t="str">
            <v>胡宇</v>
          </cell>
          <cell r="D85" t="str">
            <v>男</v>
          </cell>
          <cell r="E85">
            <v>31079</v>
          </cell>
          <cell r="F85" t="str">
            <v>362201198502015411</v>
          </cell>
        </row>
        <row r="86">
          <cell r="C86" t="str">
            <v>彭喜</v>
          </cell>
          <cell r="D86" t="str">
            <v>女</v>
          </cell>
          <cell r="E86">
            <v>31327</v>
          </cell>
          <cell r="F86" t="str">
            <v>432522198510074581</v>
          </cell>
        </row>
        <row r="87">
          <cell r="C87" t="str">
            <v>刘成惠</v>
          </cell>
          <cell r="D87" t="str">
            <v>女</v>
          </cell>
          <cell r="E87">
            <v>30192</v>
          </cell>
          <cell r="F87" t="str">
            <v>410726820829164</v>
          </cell>
        </row>
        <row r="88">
          <cell r="C88" t="str">
            <v>付六梅</v>
          </cell>
          <cell r="D88" t="str">
            <v>女</v>
          </cell>
          <cell r="E88">
            <v>29675</v>
          </cell>
          <cell r="F88" t="str">
            <v>360502198103303628</v>
          </cell>
        </row>
        <row r="89">
          <cell r="C89" t="str">
            <v>龙娟</v>
          </cell>
          <cell r="D89" t="str">
            <v>女</v>
          </cell>
          <cell r="E89">
            <v>31718</v>
          </cell>
          <cell r="F89" t="str">
            <v>362227198611020360</v>
          </cell>
        </row>
        <row r="90">
          <cell r="C90" t="str">
            <v>彭秧</v>
          </cell>
          <cell r="D90" t="str">
            <v>女</v>
          </cell>
          <cell r="E90">
            <v>30774</v>
          </cell>
          <cell r="F90" t="str">
            <v>430681198404024322</v>
          </cell>
        </row>
        <row r="91">
          <cell r="C91" t="str">
            <v>付艳青</v>
          </cell>
          <cell r="D91" t="str">
            <v>女</v>
          </cell>
          <cell r="E91">
            <v>31693</v>
          </cell>
          <cell r="F91" t="str">
            <v>430525198610084127</v>
          </cell>
        </row>
        <row r="92">
          <cell r="C92" t="str">
            <v>阳琪</v>
          </cell>
          <cell r="D92" t="str">
            <v>女</v>
          </cell>
          <cell r="E92">
            <v>30982</v>
          </cell>
          <cell r="F92" t="str">
            <v>362227198410270320</v>
          </cell>
        </row>
        <row r="93">
          <cell r="C93" t="str">
            <v>欧冬梅</v>
          </cell>
          <cell r="D93" t="str">
            <v>女</v>
          </cell>
          <cell r="E93">
            <v>30233</v>
          </cell>
          <cell r="F93" t="str">
            <v>450122198210095022</v>
          </cell>
        </row>
        <row r="94">
          <cell r="C94" t="str">
            <v>关寿福</v>
          </cell>
          <cell r="D94" t="str">
            <v>男</v>
          </cell>
          <cell r="E94">
            <v>29026</v>
          </cell>
          <cell r="F94" t="str">
            <v>452503790620477</v>
          </cell>
        </row>
        <row r="95">
          <cell r="C95" t="str">
            <v>陈利红</v>
          </cell>
          <cell r="D95" t="str">
            <v>女</v>
          </cell>
          <cell r="E95">
            <v>29276</v>
          </cell>
          <cell r="F95" t="str">
            <v>429006800225002</v>
          </cell>
        </row>
        <row r="96">
          <cell r="C96" t="str">
            <v>丁平香</v>
          </cell>
          <cell r="D96" t="str">
            <v>女</v>
          </cell>
          <cell r="E96">
            <v>31274</v>
          </cell>
          <cell r="F96" t="str">
            <v>36222719850815036X</v>
          </cell>
        </row>
        <row r="97">
          <cell r="C97" t="str">
            <v>龙小平</v>
          </cell>
          <cell r="D97" t="str">
            <v>女</v>
          </cell>
          <cell r="E97">
            <v>30576</v>
          </cell>
          <cell r="F97" t="str">
            <v>362430830917004</v>
          </cell>
        </row>
        <row r="98">
          <cell r="C98" t="str">
            <v>杨琴</v>
          </cell>
          <cell r="D98" t="str">
            <v>女</v>
          </cell>
          <cell r="E98">
            <v>31799</v>
          </cell>
          <cell r="F98" t="str">
            <v>431229198701222644</v>
          </cell>
        </row>
        <row r="99">
          <cell r="C99" t="str">
            <v>马中玉</v>
          </cell>
          <cell r="D99" t="str">
            <v>女</v>
          </cell>
          <cell r="E99">
            <v>29950</v>
          </cell>
          <cell r="F99" t="str">
            <v>411324811230098</v>
          </cell>
        </row>
        <row r="100">
          <cell r="C100" t="str">
            <v>司马亚林</v>
          </cell>
          <cell r="D100" t="str">
            <v>女</v>
          </cell>
          <cell r="E100">
            <v>31371</v>
          </cell>
          <cell r="F100" t="str">
            <v>430521198511204984</v>
          </cell>
        </row>
        <row r="101">
          <cell r="C101" t="str">
            <v>仇立红</v>
          </cell>
          <cell r="D101" t="str">
            <v>女</v>
          </cell>
          <cell r="E101">
            <v>31035</v>
          </cell>
          <cell r="F101" t="str">
            <v>430521198412193888</v>
          </cell>
        </row>
        <row r="102">
          <cell r="C102" t="str">
            <v>胡宝峰</v>
          </cell>
          <cell r="D102" t="str">
            <v>女</v>
          </cell>
          <cell r="E102">
            <v>30536</v>
          </cell>
          <cell r="F102" t="str">
            <v>411324830808092</v>
          </cell>
        </row>
        <row r="103">
          <cell r="C103" t="str">
            <v>陈蓓</v>
          </cell>
          <cell r="D103" t="str">
            <v>女</v>
          </cell>
          <cell r="E103">
            <v>30205</v>
          </cell>
          <cell r="F103" t="str">
            <v>430911198209112121</v>
          </cell>
        </row>
        <row r="104">
          <cell r="C104" t="str">
            <v>郑显芝</v>
          </cell>
          <cell r="D104" t="str">
            <v>女</v>
          </cell>
          <cell r="E104">
            <v>28227</v>
          </cell>
          <cell r="F104" t="str">
            <v>510322770412230</v>
          </cell>
        </row>
        <row r="105">
          <cell r="C105" t="str">
            <v>孙旭旭</v>
          </cell>
          <cell r="D105" t="str">
            <v>女</v>
          </cell>
          <cell r="E105">
            <v>31394</v>
          </cell>
          <cell r="F105" t="str">
            <v>411324198512130548</v>
          </cell>
        </row>
        <row r="106">
          <cell r="C106" t="str">
            <v>袁玉娜</v>
          </cell>
          <cell r="D106" t="str">
            <v>女</v>
          </cell>
          <cell r="E106">
            <v>30430</v>
          </cell>
          <cell r="F106" t="str">
            <v>411303830424392</v>
          </cell>
        </row>
        <row r="107">
          <cell r="C107" t="str">
            <v>胡哲</v>
          </cell>
          <cell r="D107" t="str">
            <v>女</v>
          </cell>
          <cell r="E107">
            <v>31491</v>
          </cell>
          <cell r="F107" t="str">
            <v>411303198603203747</v>
          </cell>
        </row>
        <row r="108">
          <cell r="C108" t="str">
            <v>刘海娇</v>
          </cell>
          <cell r="D108" t="str">
            <v>女</v>
          </cell>
          <cell r="E108">
            <v>28934</v>
          </cell>
          <cell r="F108" t="str">
            <v>430426790320766</v>
          </cell>
        </row>
        <row r="109">
          <cell r="C109" t="str">
            <v>王子林</v>
          </cell>
          <cell r="D109" t="str">
            <v>女</v>
          </cell>
          <cell r="E109">
            <v>30326</v>
          </cell>
          <cell r="F109" t="str">
            <v>513023198301103745</v>
          </cell>
        </row>
        <row r="110">
          <cell r="C110" t="str">
            <v>边东歌</v>
          </cell>
          <cell r="D110" t="str">
            <v>女</v>
          </cell>
          <cell r="E110">
            <v>28893</v>
          </cell>
          <cell r="F110" t="str">
            <v>610421197902075028</v>
          </cell>
        </row>
        <row r="111">
          <cell r="C111" t="str">
            <v>张玲玲</v>
          </cell>
          <cell r="D111" t="str">
            <v>女</v>
          </cell>
          <cell r="E111">
            <v>30616</v>
          </cell>
          <cell r="F111" t="str">
            <v>429001198310274242</v>
          </cell>
        </row>
        <row r="112">
          <cell r="C112" t="str">
            <v>宋红焕</v>
          </cell>
          <cell r="D112" t="str">
            <v>女</v>
          </cell>
          <cell r="E112">
            <v>29518</v>
          </cell>
          <cell r="F112" t="str">
            <v>411303801024284</v>
          </cell>
        </row>
        <row r="113">
          <cell r="C113" t="str">
            <v>刘捧</v>
          </cell>
          <cell r="D113" t="str">
            <v>女</v>
          </cell>
          <cell r="E113">
            <v>28983</v>
          </cell>
          <cell r="F113" t="str">
            <v>410222197905081528</v>
          </cell>
        </row>
        <row r="114">
          <cell r="C114" t="str">
            <v>陈春平</v>
          </cell>
          <cell r="D114" t="str">
            <v>女</v>
          </cell>
          <cell r="E114">
            <v>31072</v>
          </cell>
          <cell r="F114" t="str">
            <v>360735198501251948</v>
          </cell>
        </row>
        <row r="115">
          <cell r="C115" t="str">
            <v>刘玉恋</v>
          </cell>
          <cell r="D115" t="str">
            <v>女</v>
          </cell>
          <cell r="E115">
            <v>29216</v>
          </cell>
          <cell r="F115" t="str">
            <v>452327197912272820</v>
          </cell>
        </row>
        <row r="116">
          <cell r="C116" t="str">
            <v>贾梨</v>
          </cell>
          <cell r="D116" t="str">
            <v>女</v>
          </cell>
          <cell r="E116">
            <v>30757</v>
          </cell>
          <cell r="F116" t="str">
            <v>610431198403164226</v>
          </cell>
        </row>
        <row r="117">
          <cell r="C117" t="str">
            <v>史艳香</v>
          </cell>
          <cell r="D117" t="str">
            <v>女</v>
          </cell>
          <cell r="E117">
            <v>28389</v>
          </cell>
          <cell r="F117" t="str">
            <v>362430770921202</v>
          </cell>
        </row>
        <row r="118">
          <cell r="C118" t="str">
            <v>王娜</v>
          </cell>
          <cell r="D118" t="str">
            <v>女</v>
          </cell>
          <cell r="E118">
            <v>30996</v>
          </cell>
          <cell r="F118" t="str">
            <v>411324841110582</v>
          </cell>
        </row>
        <row r="119">
          <cell r="C119" t="str">
            <v>刘燕</v>
          </cell>
          <cell r="D119" t="str">
            <v>女</v>
          </cell>
          <cell r="E119">
            <v>30882</v>
          </cell>
          <cell r="F119" t="str">
            <v>360722198407195749</v>
          </cell>
        </row>
        <row r="120">
          <cell r="C120" t="str">
            <v>白宽</v>
          </cell>
          <cell r="D120" t="str">
            <v>女</v>
          </cell>
          <cell r="E120">
            <v>30621</v>
          </cell>
          <cell r="F120" t="str">
            <v>410222831101452</v>
          </cell>
        </row>
        <row r="121">
          <cell r="C121" t="str">
            <v>王巧利</v>
          </cell>
          <cell r="D121" t="str">
            <v>女</v>
          </cell>
          <cell r="E121">
            <v>31662</v>
          </cell>
          <cell r="F121" t="str">
            <v>43252219860907408X</v>
          </cell>
        </row>
        <row r="122">
          <cell r="C122" t="str">
            <v>王晓钦</v>
          </cell>
          <cell r="D122" t="str">
            <v>女</v>
          </cell>
          <cell r="E122">
            <v>29300</v>
          </cell>
          <cell r="F122" t="str">
            <v>411324800320522</v>
          </cell>
        </row>
        <row r="123">
          <cell r="C123" t="str">
            <v>王艳</v>
          </cell>
          <cell r="D123" t="str">
            <v>女</v>
          </cell>
          <cell r="E123">
            <v>31619</v>
          </cell>
          <cell r="F123" t="str">
            <v>432522198607264066</v>
          </cell>
        </row>
        <row r="124">
          <cell r="C124" t="str">
            <v>曾松锋</v>
          </cell>
          <cell r="D124" t="str">
            <v>女</v>
          </cell>
          <cell r="E124">
            <v>31592</v>
          </cell>
          <cell r="F124" t="str">
            <v>432522198606294060</v>
          </cell>
        </row>
        <row r="125">
          <cell r="C125" t="str">
            <v>郭娜</v>
          </cell>
          <cell r="D125" t="str">
            <v>女</v>
          </cell>
          <cell r="E125">
            <v>30665</v>
          </cell>
          <cell r="F125" t="str">
            <v>411302198312155427</v>
          </cell>
        </row>
        <row r="126">
          <cell r="C126" t="str">
            <v>李景</v>
          </cell>
          <cell r="D126" t="str">
            <v>女</v>
          </cell>
          <cell r="E126">
            <v>31553</v>
          </cell>
          <cell r="F126" t="str">
            <v>430181198605210327</v>
          </cell>
        </row>
        <row r="127">
          <cell r="C127" t="str">
            <v>方妙</v>
          </cell>
          <cell r="D127" t="str">
            <v>女</v>
          </cell>
          <cell r="E127">
            <v>30792</v>
          </cell>
          <cell r="F127" t="str">
            <v>430581198404200546</v>
          </cell>
        </row>
        <row r="128">
          <cell r="C128" t="str">
            <v>刘满泉</v>
          </cell>
          <cell r="D128" t="str">
            <v>女</v>
          </cell>
          <cell r="E128">
            <v>30957</v>
          </cell>
          <cell r="F128" t="str">
            <v>432524198410024125</v>
          </cell>
        </row>
        <row r="129">
          <cell r="C129" t="str">
            <v>王娜</v>
          </cell>
          <cell r="D129" t="str">
            <v>女</v>
          </cell>
          <cell r="E129">
            <v>31770</v>
          </cell>
          <cell r="F129" t="str">
            <v>41038119861224256X</v>
          </cell>
        </row>
        <row r="130">
          <cell r="C130" t="str">
            <v>王卫卫</v>
          </cell>
          <cell r="D130" t="str">
            <v>女</v>
          </cell>
          <cell r="E130">
            <v>31295</v>
          </cell>
          <cell r="F130" t="str">
            <v>410381198509052565</v>
          </cell>
        </row>
        <row r="131">
          <cell r="C131" t="str">
            <v>王海燕</v>
          </cell>
          <cell r="D131" t="str">
            <v>女</v>
          </cell>
          <cell r="E131">
            <v>30096</v>
          </cell>
          <cell r="F131" t="str">
            <v>422129198205251343</v>
          </cell>
        </row>
        <row r="132">
          <cell r="C132" t="str">
            <v>龙少荣</v>
          </cell>
          <cell r="D132" t="str">
            <v>女</v>
          </cell>
          <cell r="E132">
            <v>31225</v>
          </cell>
          <cell r="F132" t="str">
            <v>362227198506270923</v>
          </cell>
        </row>
        <row r="133">
          <cell r="C133" t="str">
            <v>黄燕妮</v>
          </cell>
          <cell r="D133" t="str">
            <v>女</v>
          </cell>
          <cell r="E133">
            <v>29234</v>
          </cell>
          <cell r="F133" t="str">
            <v>511221800114774</v>
          </cell>
        </row>
        <row r="134">
          <cell r="C134" t="str">
            <v>韩红娟</v>
          </cell>
          <cell r="D134" t="str">
            <v>女</v>
          </cell>
          <cell r="E134">
            <v>30962</v>
          </cell>
          <cell r="F134" t="str">
            <v>410122198410074747</v>
          </cell>
        </row>
        <row r="135">
          <cell r="C135" t="str">
            <v>杨瑛</v>
          </cell>
          <cell r="D135" t="str">
            <v>男</v>
          </cell>
          <cell r="E135">
            <v>30563</v>
          </cell>
          <cell r="F135" t="str">
            <v>360302830904302</v>
          </cell>
        </row>
        <row r="136">
          <cell r="C136" t="str">
            <v>李春燕</v>
          </cell>
          <cell r="D136" t="str">
            <v>女</v>
          </cell>
          <cell r="E136">
            <v>29224</v>
          </cell>
          <cell r="F136" t="str">
            <v>432927800104154</v>
          </cell>
        </row>
        <row r="137">
          <cell r="C137" t="str">
            <v>刘向</v>
          </cell>
          <cell r="D137" t="str">
            <v>女</v>
          </cell>
          <cell r="E137">
            <v>30671</v>
          </cell>
          <cell r="F137" t="str">
            <v>511223198312216883</v>
          </cell>
        </row>
        <row r="138">
          <cell r="C138" t="str">
            <v>龙军</v>
          </cell>
          <cell r="D138" t="str">
            <v>男</v>
          </cell>
          <cell r="E138">
            <v>30826</v>
          </cell>
          <cell r="F138" t="str">
            <v>36220119840524161X</v>
          </cell>
        </row>
        <row r="139">
          <cell r="C139" t="str">
            <v>韩小宁</v>
          </cell>
          <cell r="D139" t="str">
            <v>女</v>
          </cell>
          <cell r="E139">
            <v>31481</v>
          </cell>
          <cell r="F139" t="str">
            <v>410122198603104720</v>
          </cell>
        </row>
        <row r="140">
          <cell r="C140" t="str">
            <v>焦加珍</v>
          </cell>
          <cell r="D140" t="str">
            <v>女</v>
          </cell>
          <cell r="E140">
            <v>29437</v>
          </cell>
          <cell r="F140" t="str">
            <v>420620800804674</v>
          </cell>
        </row>
        <row r="141">
          <cell r="C141" t="str">
            <v>李月丽</v>
          </cell>
          <cell r="D141" t="str">
            <v>女</v>
          </cell>
          <cell r="E141">
            <v>29183</v>
          </cell>
          <cell r="F141" t="str">
            <v>412724791124744</v>
          </cell>
        </row>
        <row r="142">
          <cell r="C142" t="str">
            <v>刘超艳</v>
          </cell>
          <cell r="D142" t="str">
            <v>女</v>
          </cell>
          <cell r="E142">
            <v>31046</v>
          </cell>
          <cell r="F142" t="str">
            <v>610124198412303929</v>
          </cell>
        </row>
        <row r="143">
          <cell r="C143" t="str">
            <v>肖满兰</v>
          </cell>
          <cell r="D143" t="str">
            <v>女</v>
          </cell>
          <cell r="E143">
            <v>30621</v>
          </cell>
          <cell r="F143" t="str">
            <v>362426198311017324</v>
          </cell>
        </row>
        <row r="144">
          <cell r="C144" t="str">
            <v>徐小恋</v>
          </cell>
          <cell r="D144" t="str">
            <v>女</v>
          </cell>
          <cell r="E144">
            <v>31004</v>
          </cell>
          <cell r="F144" t="str">
            <v>513030198411188624</v>
          </cell>
        </row>
        <row r="145">
          <cell r="C145" t="str">
            <v>段有元</v>
          </cell>
          <cell r="D145" t="str">
            <v>女</v>
          </cell>
          <cell r="E145">
            <v>29619</v>
          </cell>
          <cell r="F145" t="str">
            <v>430381810202924</v>
          </cell>
        </row>
        <row r="146">
          <cell r="C146" t="str">
            <v>舒仁容</v>
          </cell>
          <cell r="D146" t="str">
            <v>女</v>
          </cell>
          <cell r="E146">
            <v>28980</v>
          </cell>
          <cell r="F146" t="str">
            <v>513024790505982</v>
          </cell>
        </row>
        <row r="147">
          <cell r="C147" t="str">
            <v>崔玲玲</v>
          </cell>
          <cell r="D147" t="str">
            <v>女</v>
          </cell>
          <cell r="E147">
            <v>30261</v>
          </cell>
          <cell r="F147" t="str">
            <v>422801198211061222</v>
          </cell>
        </row>
        <row r="148">
          <cell r="C148" t="str">
            <v>雷凤春</v>
          </cell>
          <cell r="D148" t="str">
            <v>女</v>
          </cell>
          <cell r="E148">
            <v>29601</v>
          </cell>
          <cell r="F148" t="str">
            <v>452226810115062</v>
          </cell>
        </row>
        <row r="149">
          <cell r="C149" t="str">
            <v>张丽</v>
          </cell>
          <cell r="D149" t="str">
            <v>女</v>
          </cell>
          <cell r="E149">
            <v>30361</v>
          </cell>
          <cell r="F149" t="str">
            <v>429004198302145925</v>
          </cell>
        </row>
        <row r="150">
          <cell r="C150" t="str">
            <v>李利平</v>
          </cell>
          <cell r="D150" t="str">
            <v>女</v>
          </cell>
          <cell r="E150">
            <v>30012</v>
          </cell>
          <cell r="F150" t="str">
            <v>410222820302204</v>
          </cell>
        </row>
        <row r="151">
          <cell r="C151" t="str">
            <v>郑为贤</v>
          </cell>
          <cell r="D151" t="str">
            <v>女</v>
          </cell>
          <cell r="E151">
            <v>31589</v>
          </cell>
          <cell r="F151" t="str">
            <v>532101198606263029</v>
          </cell>
        </row>
        <row r="152">
          <cell r="C152" t="str">
            <v>蔡小明</v>
          </cell>
          <cell r="D152" t="str">
            <v>女</v>
          </cell>
          <cell r="E152">
            <v>29133</v>
          </cell>
          <cell r="F152" t="str">
            <v>421125197910050626</v>
          </cell>
        </row>
        <row r="153">
          <cell r="C153" t="str">
            <v>汪苹</v>
          </cell>
          <cell r="D153" t="str">
            <v>女</v>
          </cell>
          <cell r="E153">
            <v>31129</v>
          </cell>
          <cell r="F153" t="str">
            <v>421125198503230384</v>
          </cell>
        </row>
        <row r="154">
          <cell r="C154" t="str">
            <v>王小林</v>
          </cell>
          <cell r="D154" t="str">
            <v>女</v>
          </cell>
          <cell r="E154">
            <v>30761</v>
          </cell>
          <cell r="F154" t="str">
            <v>42112519840320332X</v>
          </cell>
        </row>
        <row r="155">
          <cell r="C155" t="str">
            <v>许美容</v>
          </cell>
          <cell r="D155" t="str">
            <v>女</v>
          </cell>
          <cell r="E155">
            <v>30226</v>
          </cell>
          <cell r="F155" t="str">
            <v>430724821002462</v>
          </cell>
        </row>
        <row r="156">
          <cell r="C156" t="str">
            <v>侯细凤</v>
          </cell>
          <cell r="D156" t="str">
            <v>女</v>
          </cell>
          <cell r="E156">
            <v>31096</v>
          </cell>
          <cell r="F156" t="str">
            <v>421125198502180346</v>
          </cell>
        </row>
        <row r="157">
          <cell r="C157" t="str">
            <v>王素勤</v>
          </cell>
          <cell r="D157" t="str">
            <v>女</v>
          </cell>
          <cell r="E157">
            <v>30006</v>
          </cell>
          <cell r="F157" t="str">
            <v>412722820224202</v>
          </cell>
        </row>
        <row r="158">
          <cell r="C158" t="str">
            <v>杨彩琴</v>
          </cell>
          <cell r="D158" t="str">
            <v>女</v>
          </cell>
          <cell r="E158">
            <v>30909</v>
          </cell>
          <cell r="F158" t="str">
            <v>42112519840815036X</v>
          </cell>
        </row>
        <row r="159">
          <cell r="C159" t="str">
            <v>张慧</v>
          </cell>
          <cell r="D159" t="str">
            <v>女</v>
          </cell>
          <cell r="E159">
            <v>31402</v>
          </cell>
          <cell r="F159" t="str">
            <v>421125198512210326</v>
          </cell>
        </row>
        <row r="160">
          <cell r="C160" t="str">
            <v>郭丹丹</v>
          </cell>
          <cell r="D160" t="str">
            <v>女</v>
          </cell>
          <cell r="E160">
            <v>31005</v>
          </cell>
          <cell r="F160" t="str">
            <v>412722198411194948</v>
          </cell>
        </row>
        <row r="161">
          <cell r="C161" t="str">
            <v>沈小兰</v>
          </cell>
          <cell r="D161" t="str">
            <v>女</v>
          </cell>
          <cell r="E161">
            <v>31315</v>
          </cell>
          <cell r="F161" t="str">
            <v>421125198509250327</v>
          </cell>
        </row>
        <row r="162">
          <cell r="C162" t="str">
            <v>徐倩</v>
          </cell>
          <cell r="D162" t="str">
            <v>女</v>
          </cell>
          <cell r="E162">
            <v>29864</v>
          </cell>
          <cell r="F162" t="str">
            <v>420802811005004</v>
          </cell>
        </row>
        <row r="163">
          <cell r="C163" t="str">
            <v>徐家朋</v>
          </cell>
          <cell r="D163" t="str">
            <v>女</v>
          </cell>
          <cell r="E163">
            <v>31385</v>
          </cell>
          <cell r="F163" t="str">
            <v>421125198512043724</v>
          </cell>
        </row>
        <row r="164">
          <cell r="C164" t="str">
            <v>彭凤娟</v>
          </cell>
          <cell r="D164" t="str">
            <v>女</v>
          </cell>
          <cell r="E164">
            <v>31569</v>
          </cell>
          <cell r="F164" t="str">
            <v>412721198606061882</v>
          </cell>
        </row>
        <row r="165">
          <cell r="C165" t="str">
            <v>何小丽</v>
          </cell>
          <cell r="D165" t="str">
            <v>女</v>
          </cell>
          <cell r="E165">
            <v>29914</v>
          </cell>
          <cell r="F165" t="str">
            <v>360502811124362</v>
          </cell>
        </row>
        <row r="166">
          <cell r="C166" t="str">
            <v>陈宝玲</v>
          </cell>
          <cell r="D166" t="str">
            <v>女</v>
          </cell>
          <cell r="E166">
            <v>29352</v>
          </cell>
          <cell r="F166" t="str">
            <v>410223198005111526</v>
          </cell>
        </row>
        <row r="167">
          <cell r="C167" t="str">
            <v>李珍</v>
          </cell>
          <cell r="D167" t="str">
            <v>女</v>
          </cell>
          <cell r="E167">
            <v>29606</v>
          </cell>
          <cell r="F167" t="str">
            <v>421125198101207624</v>
          </cell>
        </row>
        <row r="168">
          <cell r="C168" t="str">
            <v>东小霞</v>
          </cell>
          <cell r="D168" t="str">
            <v>女</v>
          </cell>
          <cell r="E168">
            <v>29904</v>
          </cell>
          <cell r="F168" t="str">
            <v>422127811114032</v>
          </cell>
        </row>
        <row r="169">
          <cell r="C169" t="str">
            <v>闵静</v>
          </cell>
          <cell r="D169" t="str">
            <v>女</v>
          </cell>
          <cell r="E169">
            <v>31319</v>
          </cell>
          <cell r="F169" t="str">
            <v>42112519850929272X</v>
          </cell>
        </row>
        <row r="170">
          <cell r="C170" t="str">
            <v>要盼盼</v>
          </cell>
          <cell r="D170" t="str">
            <v>女</v>
          </cell>
          <cell r="E170">
            <v>31157</v>
          </cell>
          <cell r="F170" t="str">
            <v>410223198504205025</v>
          </cell>
        </row>
        <row r="171">
          <cell r="C171" t="str">
            <v>潘兰兰</v>
          </cell>
          <cell r="D171" t="str">
            <v>女</v>
          </cell>
          <cell r="E171">
            <v>31398</v>
          </cell>
          <cell r="F171" t="str">
            <v>421125198512170344</v>
          </cell>
        </row>
        <row r="172">
          <cell r="C172" t="str">
            <v>郭慧丽</v>
          </cell>
          <cell r="D172" t="str">
            <v>女</v>
          </cell>
          <cell r="E172">
            <v>30179</v>
          </cell>
          <cell r="F172" t="str">
            <v>41272219820816492X</v>
          </cell>
        </row>
        <row r="173">
          <cell r="C173" t="str">
            <v>刘小玲</v>
          </cell>
          <cell r="D173" t="str">
            <v>女</v>
          </cell>
          <cell r="E173">
            <v>31141</v>
          </cell>
          <cell r="F173" t="str">
            <v>412722198504044922</v>
          </cell>
        </row>
        <row r="174">
          <cell r="C174" t="str">
            <v>钟武英</v>
          </cell>
          <cell r="D174" t="str">
            <v>女</v>
          </cell>
          <cell r="E174">
            <v>29348</v>
          </cell>
          <cell r="F174" t="str">
            <v>511322198005071783</v>
          </cell>
        </row>
        <row r="175">
          <cell r="C175" t="str">
            <v>蔚华玲</v>
          </cell>
          <cell r="D175" t="str">
            <v>女</v>
          </cell>
          <cell r="E175">
            <v>31301</v>
          </cell>
          <cell r="F175" t="str">
            <v>412722198509114926</v>
          </cell>
        </row>
        <row r="176">
          <cell r="C176" t="str">
            <v>马艳</v>
          </cell>
          <cell r="D176" t="str">
            <v>女</v>
          </cell>
          <cell r="E176">
            <v>30512</v>
          </cell>
          <cell r="F176" t="str">
            <v>41272219830715492X</v>
          </cell>
        </row>
        <row r="177">
          <cell r="C177" t="str">
            <v>刘彩云</v>
          </cell>
          <cell r="D177" t="str">
            <v>女</v>
          </cell>
          <cell r="E177">
            <v>31726</v>
          </cell>
          <cell r="F177" t="str">
            <v>41272219861110496X</v>
          </cell>
        </row>
        <row r="178">
          <cell r="C178" t="str">
            <v>周平</v>
          </cell>
          <cell r="D178" t="str">
            <v>女</v>
          </cell>
          <cell r="E178">
            <v>30490</v>
          </cell>
          <cell r="F178" t="str">
            <v>411302830622572</v>
          </cell>
        </row>
        <row r="179">
          <cell r="C179" t="str">
            <v>常海燕</v>
          </cell>
          <cell r="D179" t="str">
            <v>女</v>
          </cell>
          <cell r="E179">
            <v>29760</v>
          </cell>
          <cell r="F179" t="str">
            <v>411327810623312</v>
          </cell>
        </row>
        <row r="180">
          <cell r="C180" t="str">
            <v>张裕</v>
          </cell>
          <cell r="D180" t="str">
            <v>女</v>
          </cell>
          <cell r="E180">
            <v>30782</v>
          </cell>
          <cell r="F180" t="str">
            <v>421125198404104024</v>
          </cell>
        </row>
        <row r="181">
          <cell r="C181" t="str">
            <v>赖门玲</v>
          </cell>
          <cell r="D181" t="str">
            <v>女</v>
          </cell>
          <cell r="E181">
            <v>30196</v>
          </cell>
          <cell r="F181" t="str">
            <v>513029820902314</v>
          </cell>
        </row>
        <row r="182">
          <cell r="C182" t="str">
            <v xml:space="preserve"> 何倩</v>
          </cell>
          <cell r="D182" t="str">
            <v>女</v>
          </cell>
          <cell r="E182">
            <v>31116</v>
          </cell>
          <cell r="F182" t="str">
            <v>430722198503103689</v>
          </cell>
        </row>
        <row r="183">
          <cell r="C183" t="str">
            <v xml:space="preserve"> 何敏</v>
          </cell>
          <cell r="D183" t="str">
            <v>女</v>
          </cell>
          <cell r="E183">
            <v>30883</v>
          </cell>
          <cell r="F183" t="str">
            <v>522121198407203246</v>
          </cell>
        </row>
        <row r="184">
          <cell r="C184" t="str">
            <v>王新艳</v>
          </cell>
          <cell r="D184" t="str">
            <v>女</v>
          </cell>
          <cell r="E184">
            <v>31087</v>
          </cell>
          <cell r="F184" t="str">
            <v>610403198502092023</v>
          </cell>
        </row>
        <row r="185">
          <cell r="C185" t="str">
            <v>董小燕</v>
          </cell>
          <cell r="D185" t="str">
            <v>女</v>
          </cell>
          <cell r="E185">
            <v>31423</v>
          </cell>
          <cell r="F185" t="str">
            <v>340822198601110747</v>
          </cell>
        </row>
        <row r="186">
          <cell r="C186" t="str">
            <v>李芳</v>
          </cell>
          <cell r="D186" t="str">
            <v>女</v>
          </cell>
          <cell r="E186">
            <v>30144</v>
          </cell>
          <cell r="F186" t="str">
            <v>410203820712154</v>
          </cell>
        </row>
        <row r="187">
          <cell r="C187" t="str">
            <v>黄珊</v>
          </cell>
          <cell r="D187" t="str">
            <v>女</v>
          </cell>
          <cell r="E187">
            <v>31257</v>
          </cell>
          <cell r="F187" t="str">
            <v>420621198507298643</v>
          </cell>
        </row>
        <row r="188">
          <cell r="C188" t="str">
            <v>杨金凤</v>
          </cell>
          <cell r="D188" t="str">
            <v>女</v>
          </cell>
          <cell r="E188">
            <v>31367</v>
          </cell>
          <cell r="F188" t="str">
            <v>42112619851116474X</v>
          </cell>
        </row>
        <row r="189">
          <cell r="C189" t="str">
            <v>师小丹</v>
          </cell>
          <cell r="D189" t="str">
            <v>女</v>
          </cell>
          <cell r="E189">
            <v>31746</v>
          </cell>
          <cell r="F189" t="str">
            <v>410223198611308089</v>
          </cell>
        </row>
        <row r="190">
          <cell r="C190" t="str">
            <v>吉梅丽</v>
          </cell>
          <cell r="D190" t="str">
            <v>女</v>
          </cell>
          <cell r="E190">
            <v>30972</v>
          </cell>
          <cell r="F190" t="str">
            <v>420684198410171529</v>
          </cell>
        </row>
        <row r="191">
          <cell r="C191" t="str">
            <v>刘秀芳</v>
          </cell>
          <cell r="D191" t="str">
            <v>女</v>
          </cell>
          <cell r="E191">
            <v>31550</v>
          </cell>
          <cell r="F191" t="str">
            <v>410223198605180525</v>
          </cell>
        </row>
        <row r="192">
          <cell r="C192" t="str">
            <v>肖伟玲</v>
          </cell>
          <cell r="D192" t="str">
            <v>女</v>
          </cell>
          <cell r="E192">
            <v>31739</v>
          </cell>
          <cell r="F192" t="str">
            <v>410223198611238069</v>
          </cell>
        </row>
        <row r="193">
          <cell r="C193" t="str">
            <v>路丹</v>
          </cell>
          <cell r="D193" t="str">
            <v>女</v>
          </cell>
          <cell r="E193">
            <v>31322</v>
          </cell>
          <cell r="F193" t="str">
            <v>41022319851002006X</v>
          </cell>
        </row>
        <row r="194">
          <cell r="C194" t="str">
            <v>杨萍</v>
          </cell>
          <cell r="D194" t="str">
            <v>女</v>
          </cell>
          <cell r="E194">
            <v>31639</v>
          </cell>
          <cell r="F194" t="str">
            <v>340822198608150725</v>
          </cell>
        </row>
        <row r="195">
          <cell r="C195" t="str">
            <v>李艳</v>
          </cell>
          <cell r="D195" t="str">
            <v>女</v>
          </cell>
          <cell r="E195">
            <v>31649</v>
          </cell>
          <cell r="F195" t="str">
            <v>342923198608251220</v>
          </cell>
        </row>
        <row r="196">
          <cell r="C196" t="str">
            <v>陆加凤</v>
          </cell>
          <cell r="D196" t="str">
            <v>女</v>
          </cell>
          <cell r="E196">
            <v>31024</v>
          </cell>
          <cell r="F196" t="str">
            <v>430722198412082288</v>
          </cell>
        </row>
        <row r="197">
          <cell r="C197" t="str">
            <v>刘巧荣</v>
          </cell>
          <cell r="D197" t="str">
            <v>女</v>
          </cell>
          <cell r="E197">
            <v>29827</v>
          </cell>
          <cell r="F197" t="str">
            <v>410122810829472</v>
          </cell>
        </row>
        <row r="198">
          <cell r="C198" t="str">
            <v>杨艳霞</v>
          </cell>
          <cell r="D198" t="str">
            <v>女</v>
          </cell>
          <cell r="E198">
            <v>31590</v>
          </cell>
          <cell r="F198" t="str">
            <v>420621198606278920</v>
          </cell>
        </row>
        <row r="199">
          <cell r="C199" t="str">
            <v>王姣</v>
          </cell>
          <cell r="D199" t="str">
            <v>女</v>
          </cell>
          <cell r="E199">
            <v>31588</v>
          </cell>
          <cell r="F199" t="str">
            <v>420621198606258641</v>
          </cell>
        </row>
        <row r="200">
          <cell r="C200" t="str">
            <v>马小叶</v>
          </cell>
          <cell r="D200" t="str">
            <v>女</v>
          </cell>
          <cell r="E200">
            <v>30048</v>
          </cell>
          <cell r="F200" t="str">
            <v>410223820407052</v>
          </cell>
        </row>
        <row r="201">
          <cell r="C201" t="str">
            <v>史小珍</v>
          </cell>
          <cell r="D201" t="str">
            <v>女</v>
          </cell>
          <cell r="E201">
            <v>31486</v>
          </cell>
          <cell r="F201" t="str">
            <v>410223198603150541</v>
          </cell>
        </row>
        <row r="202">
          <cell r="C202" t="str">
            <v>孟洁</v>
          </cell>
          <cell r="D202" t="str">
            <v>女</v>
          </cell>
          <cell r="E202">
            <v>30759</v>
          </cell>
          <cell r="F202" t="str">
            <v>410122198403184729</v>
          </cell>
        </row>
        <row r="203">
          <cell r="C203" t="str">
            <v>师会霞</v>
          </cell>
          <cell r="D203" t="str">
            <v>女</v>
          </cell>
          <cell r="E203">
            <v>30405</v>
          </cell>
          <cell r="F203" t="str">
            <v>410223198303308028</v>
          </cell>
        </row>
        <row r="204">
          <cell r="C204" t="str">
            <v>曹静</v>
          </cell>
          <cell r="D204" t="str">
            <v>女</v>
          </cell>
          <cell r="E204">
            <v>30218</v>
          </cell>
          <cell r="F204" t="str">
            <v>420621198209248621</v>
          </cell>
        </row>
        <row r="205">
          <cell r="C205" t="str">
            <v>卢金兰</v>
          </cell>
          <cell r="D205" t="str">
            <v>女</v>
          </cell>
          <cell r="E205">
            <v>30618</v>
          </cell>
          <cell r="F205" t="str">
            <v>42062119831029864X</v>
          </cell>
        </row>
        <row r="206">
          <cell r="C206" t="str">
            <v>段文向</v>
          </cell>
          <cell r="D206" t="str">
            <v>女</v>
          </cell>
          <cell r="E206">
            <v>29080</v>
          </cell>
          <cell r="F206" t="str">
            <v>412921790813362</v>
          </cell>
        </row>
        <row r="207">
          <cell r="C207" t="str">
            <v>张利</v>
          </cell>
          <cell r="D207" t="str">
            <v>女</v>
          </cell>
          <cell r="E207">
            <v>30374</v>
          </cell>
          <cell r="F207" t="str">
            <v>410223198302276060</v>
          </cell>
        </row>
        <row r="208">
          <cell r="C208" t="str">
            <v>陈国云</v>
          </cell>
          <cell r="D208" t="str">
            <v>女</v>
          </cell>
          <cell r="E208">
            <v>30778</v>
          </cell>
          <cell r="F208" t="str">
            <v>420621198404068968</v>
          </cell>
        </row>
        <row r="209">
          <cell r="C209" t="str">
            <v>王秋菊</v>
          </cell>
          <cell r="D209" t="str">
            <v>女</v>
          </cell>
          <cell r="E209">
            <v>31638</v>
          </cell>
          <cell r="F209" t="str">
            <v>411326198608143629</v>
          </cell>
        </row>
        <row r="210">
          <cell r="C210" t="str">
            <v>黄杰</v>
          </cell>
          <cell r="D210" t="str">
            <v>女</v>
          </cell>
          <cell r="E210">
            <v>30552</v>
          </cell>
          <cell r="F210" t="str">
            <v>420623198308241524</v>
          </cell>
        </row>
        <row r="211">
          <cell r="C211" t="str">
            <v>张治华</v>
          </cell>
          <cell r="D211" t="str">
            <v>女</v>
          </cell>
          <cell r="E211">
            <v>31424</v>
          </cell>
          <cell r="F211" t="str">
            <v>410223198601126046</v>
          </cell>
        </row>
        <row r="212">
          <cell r="C212" t="str">
            <v>彭霞</v>
          </cell>
          <cell r="D212" t="str">
            <v>女</v>
          </cell>
          <cell r="E212">
            <v>29998</v>
          </cell>
          <cell r="F212" t="str">
            <v>430511820216752</v>
          </cell>
        </row>
        <row r="213">
          <cell r="C213" t="str">
            <v>易香燕</v>
          </cell>
          <cell r="D213" t="str">
            <v>女</v>
          </cell>
          <cell r="E213">
            <v>31072</v>
          </cell>
          <cell r="F213" t="str">
            <v>42068419850125504X</v>
          </cell>
        </row>
        <row r="214">
          <cell r="C214" t="str">
            <v>王春燕</v>
          </cell>
          <cell r="D214" t="str">
            <v>女</v>
          </cell>
          <cell r="E214">
            <v>31239</v>
          </cell>
          <cell r="F214" t="str">
            <v>420621198507118622</v>
          </cell>
        </row>
        <row r="215">
          <cell r="C215" t="str">
            <v>肖艳平</v>
          </cell>
          <cell r="D215" t="str">
            <v>女</v>
          </cell>
          <cell r="E215">
            <v>31211</v>
          </cell>
          <cell r="F215" t="str">
            <v>420621198506138920</v>
          </cell>
        </row>
        <row r="216">
          <cell r="C216" t="str">
            <v>赵永霞</v>
          </cell>
          <cell r="D216" t="str">
            <v>女</v>
          </cell>
          <cell r="E216">
            <v>30754</v>
          </cell>
          <cell r="F216" t="str">
            <v>410223198403136024</v>
          </cell>
        </row>
        <row r="217">
          <cell r="C217" t="str">
            <v>张艳丽</v>
          </cell>
          <cell r="D217" t="str">
            <v>女</v>
          </cell>
          <cell r="E217">
            <v>30871</v>
          </cell>
          <cell r="F217" t="str">
            <v>410223198407086044</v>
          </cell>
        </row>
        <row r="218">
          <cell r="C218" t="str">
            <v>张敏</v>
          </cell>
          <cell r="D218" t="str">
            <v>女</v>
          </cell>
          <cell r="E218">
            <v>31070</v>
          </cell>
          <cell r="F218" t="str">
            <v>410224198501230766</v>
          </cell>
        </row>
        <row r="219">
          <cell r="C219" t="str">
            <v>王舒婷</v>
          </cell>
          <cell r="D219" t="str">
            <v>女</v>
          </cell>
          <cell r="E219">
            <v>30435</v>
          </cell>
          <cell r="F219" t="str">
            <v>362233198304291627</v>
          </cell>
        </row>
        <row r="220">
          <cell r="C220" t="str">
            <v>刘小瑞</v>
          </cell>
          <cell r="D220" t="str">
            <v>女</v>
          </cell>
          <cell r="E220">
            <v>31495</v>
          </cell>
          <cell r="F220" t="str">
            <v>410223198603240520</v>
          </cell>
        </row>
        <row r="221">
          <cell r="C221" t="str">
            <v>何仙仙</v>
          </cell>
          <cell r="D221" t="str">
            <v>女</v>
          </cell>
          <cell r="E221">
            <v>31598</v>
          </cell>
          <cell r="F221" t="str">
            <v>420621198607058647</v>
          </cell>
        </row>
        <row r="222">
          <cell r="C222" t="str">
            <v>刘海霞</v>
          </cell>
          <cell r="D222" t="str">
            <v>女</v>
          </cell>
          <cell r="E222">
            <v>29849</v>
          </cell>
          <cell r="F222" t="str">
            <v>412721810920424</v>
          </cell>
        </row>
        <row r="223">
          <cell r="C223" t="str">
            <v>曾凡娇</v>
          </cell>
          <cell r="D223" t="str">
            <v>女</v>
          </cell>
          <cell r="E223">
            <v>31359</v>
          </cell>
          <cell r="F223" t="str">
            <v>420621198511088665</v>
          </cell>
        </row>
        <row r="224">
          <cell r="C224" t="str">
            <v xml:space="preserve">孙小娜 </v>
          </cell>
          <cell r="D224" t="str">
            <v>女</v>
          </cell>
          <cell r="E224">
            <v>31087</v>
          </cell>
          <cell r="F224" t="str">
            <v>410223198502091060</v>
          </cell>
        </row>
        <row r="225">
          <cell r="C225" t="str">
            <v>任玉娇</v>
          </cell>
          <cell r="D225" t="str">
            <v>女</v>
          </cell>
          <cell r="E225">
            <v>31683</v>
          </cell>
          <cell r="F225" t="str">
            <v>420621198609288665</v>
          </cell>
        </row>
        <row r="226">
          <cell r="C226" t="str">
            <v>师改平</v>
          </cell>
          <cell r="D226" t="str">
            <v>女</v>
          </cell>
          <cell r="E226">
            <v>31245</v>
          </cell>
          <cell r="F226" t="str">
            <v>410223198507178026</v>
          </cell>
        </row>
        <row r="227">
          <cell r="C227" t="str">
            <v>刘小霞</v>
          </cell>
          <cell r="D227" t="str">
            <v>女</v>
          </cell>
          <cell r="E227">
            <v>30814</v>
          </cell>
          <cell r="F227" t="str">
            <v>41012219840512472X</v>
          </cell>
        </row>
        <row r="228">
          <cell r="C228" t="str">
            <v>梁盈</v>
          </cell>
          <cell r="D228" t="str">
            <v>女</v>
          </cell>
          <cell r="E228">
            <v>31637</v>
          </cell>
          <cell r="F228" t="str">
            <v>420621198608138665</v>
          </cell>
        </row>
        <row r="229">
          <cell r="C229" t="str">
            <v>徐征</v>
          </cell>
          <cell r="D229" t="str">
            <v>女</v>
          </cell>
          <cell r="E229">
            <v>31433</v>
          </cell>
          <cell r="F229" t="str">
            <v>420621198601218646</v>
          </cell>
        </row>
        <row r="230">
          <cell r="C230" t="str">
            <v>尹娥</v>
          </cell>
          <cell r="D230" t="str">
            <v>女</v>
          </cell>
          <cell r="E230">
            <v>30401</v>
          </cell>
          <cell r="F230" t="str">
            <v>420621198303268645</v>
          </cell>
        </row>
        <row r="231">
          <cell r="C231" t="str">
            <v>李娟</v>
          </cell>
          <cell r="D231" t="str">
            <v>女</v>
          </cell>
          <cell r="E231">
            <v>31438</v>
          </cell>
          <cell r="F231" t="str">
            <v>612324198601264028</v>
          </cell>
        </row>
        <row r="232">
          <cell r="C232" t="str">
            <v>杨云霞</v>
          </cell>
          <cell r="D232" t="str">
            <v>女</v>
          </cell>
          <cell r="E232">
            <v>29986</v>
          </cell>
          <cell r="F232" t="str">
            <v>41102419820204324X</v>
          </cell>
        </row>
        <row r="233">
          <cell r="C233" t="str">
            <v>祁艳霞</v>
          </cell>
          <cell r="D233" t="str">
            <v>女</v>
          </cell>
          <cell r="E233">
            <v>30365</v>
          </cell>
          <cell r="F233" t="str">
            <v>412722830910492</v>
          </cell>
        </row>
        <row r="234">
          <cell r="C234" t="str">
            <v>张新华</v>
          </cell>
          <cell r="D234" t="str">
            <v>女</v>
          </cell>
          <cell r="E234">
            <v>27479</v>
          </cell>
          <cell r="F234" t="str">
            <v>341022750326432</v>
          </cell>
        </row>
        <row r="235">
          <cell r="C235" t="str">
            <v>郑爱琴</v>
          </cell>
          <cell r="D235" t="str">
            <v>女</v>
          </cell>
          <cell r="E235">
            <v>30012</v>
          </cell>
          <cell r="F235" t="str">
            <v>410503820302104</v>
          </cell>
        </row>
        <row r="236">
          <cell r="C236" t="str">
            <v>黄利琴</v>
          </cell>
          <cell r="D236" t="str">
            <v>女</v>
          </cell>
          <cell r="E236">
            <v>30398</v>
          </cell>
          <cell r="F236" t="str">
            <v>430181198303237428</v>
          </cell>
        </row>
        <row r="237">
          <cell r="C237" t="str">
            <v>耿慧娜</v>
          </cell>
          <cell r="D237" t="str">
            <v>女</v>
          </cell>
          <cell r="E237">
            <v>29445</v>
          </cell>
          <cell r="F237" t="str">
            <v>411024198008123289</v>
          </cell>
        </row>
        <row r="238">
          <cell r="C238" t="str">
            <v>田华</v>
          </cell>
          <cell r="D238" t="str">
            <v>女</v>
          </cell>
          <cell r="E238">
            <v>29857</v>
          </cell>
          <cell r="F238" t="str">
            <v>420623198109281523</v>
          </cell>
        </row>
        <row r="239">
          <cell r="C239" t="str">
            <v>李云霞</v>
          </cell>
          <cell r="D239" t="str">
            <v>男</v>
          </cell>
          <cell r="E239">
            <v>28299</v>
          </cell>
          <cell r="F239" t="str">
            <v>430602770623051</v>
          </cell>
        </row>
        <row r="240">
          <cell r="C240" t="str">
            <v>蒋维</v>
          </cell>
          <cell r="D240" t="str">
            <v>女</v>
          </cell>
          <cell r="E240">
            <v>30945</v>
          </cell>
          <cell r="F240" t="str">
            <v>450325198409201304</v>
          </cell>
        </row>
        <row r="241">
          <cell r="C241" t="str">
            <v>马丽霞</v>
          </cell>
          <cell r="D241" t="str">
            <v>女</v>
          </cell>
          <cell r="E241">
            <v>30818</v>
          </cell>
          <cell r="F241" t="str">
            <v>61232419840516402X</v>
          </cell>
        </row>
        <row r="242">
          <cell r="C242" t="str">
            <v>何卫华</v>
          </cell>
          <cell r="D242" t="str">
            <v>男</v>
          </cell>
          <cell r="E242">
            <v>28396</v>
          </cell>
          <cell r="F242" t="str">
            <v>430602770928151</v>
          </cell>
        </row>
        <row r="243">
          <cell r="C243" t="str">
            <v>崔淑娟</v>
          </cell>
          <cell r="D243" t="str">
            <v>女</v>
          </cell>
          <cell r="E243">
            <v>30056</v>
          </cell>
          <cell r="F243" t="str">
            <v>411024820415322</v>
          </cell>
        </row>
        <row r="244">
          <cell r="C244" t="str">
            <v>张艳芳</v>
          </cell>
          <cell r="D244" t="str">
            <v>女</v>
          </cell>
          <cell r="E244">
            <v>31168</v>
          </cell>
          <cell r="F244" t="str">
            <v>411024198505012547</v>
          </cell>
        </row>
        <row r="245">
          <cell r="C245" t="str">
            <v>陈永霞</v>
          </cell>
          <cell r="D245" t="str">
            <v>女</v>
          </cell>
          <cell r="E245">
            <v>29531</v>
          </cell>
          <cell r="F245" t="str">
            <v>411102198011060060</v>
          </cell>
        </row>
        <row r="246">
          <cell r="C246" t="str">
            <v>牛瑞瑞</v>
          </cell>
          <cell r="D246" t="str">
            <v>女</v>
          </cell>
          <cell r="E246">
            <v>30170</v>
          </cell>
          <cell r="F246" t="str">
            <v>410224198208071620</v>
          </cell>
        </row>
        <row r="247">
          <cell r="C247" t="str">
            <v>蒋连香</v>
          </cell>
          <cell r="D247" t="str">
            <v>女</v>
          </cell>
          <cell r="E247">
            <v>31174</v>
          </cell>
          <cell r="F247" t="str">
            <v>450325198505070324</v>
          </cell>
        </row>
        <row r="248">
          <cell r="C248" t="str">
            <v>唐妮琼</v>
          </cell>
          <cell r="D248" t="str">
            <v>女</v>
          </cell>
          <cell r="E248">
            <v>30067</v>
          </cell>
          <cell r="F248" t="str">
            <v>452324820426124</v>
          </cell>
        </row>
        <row r="249">
          <cell r="C249" t="str">
            <v>谢闫</v>
          </cell>
          <cell r="D249" t="str">
            <v>女</v>
          </cell>
          <cell r="E249">
            <v>31215</v>
          </cell>
          <cell r="F249" t="str">
            <v>421125198506176125</v>
          </cell>
        </row>
        <row r="250">
          <cell r="C250" t="str">
            <v>牛琳利</v>
          </cell>
          <cell r="D250" t="str">
            <v>女</v>
          </cell>
          <cell r="E250">
            <v>28693</v>
          </cell>
          <cell r="F250" t="str">
            <v>410224780722162</v>
          </cell>
        </row>
        <row r="251">
          <cell r="C251" t="str">
            <v>武艳</v>
          </cell>
          <cell r="D251" t="str">
            <v>女</v>
          </cell>
          <cell r="E251">
            <v>30855</v>
          </cell>
          <cell r="F251" t="str">
            <v>412722198406223548</v>
          </cell>
        </row>
        <row r="252">
          <cell r="C252" t="str">
            <v>武锦锦</v>
          </cell>
          <cell r="D252" t="str">
            <v>女</v>
          </cell>
          <cell r="E252">
            <v>30516</v>
          </cell>
          <cell r="F252" t="str">
            <v>412722830719352</v>
          </cell>
        </row>
        <row r="253">
          <cell r="C253" t="str">
            <v>牛兰芳</v>
          </cell>
          <cell r="D253" t="str">
            <v>女</v>
          </cell>
          <cell r="E253">
            <v>29531</v>
          </cell>
          <cell r="F253" t="str">
            <v>411024801106254</v>
          </cell>
        </row>
        <row r="254">
          <cell r="C254" t="str">
            <v>聂小红</v>
          </cell>
          <cell r="D254" t="str">
            <v>女</v>
          </cell>
          <cell r="E254">
            <v>31662</v>
          </cell>
          <cell r="F254" t="str">
            <v>362424198609076420</v>
          </cell>
        </row>
        <row r="255">
          <cell r="C255" t="str">
            <v>卓毓琴</v>
          </cell>
          <cell r="D255" t="str">
            <v>女</v>
          </cell>
          <cell r="E255">
            <v>29423</v>
          </cell>
          <cell r="F255" t="str">
            <v>362103800721002</v>
          </cell>
        </row>
        <row r="256">
          <cell r="C256" t="str">
            <v>孙彦红</v>
          </cell>
          <cell r="D256" t="str">
            <v>女</v>
          </cell>
          <cell r="E256">
            <v>31672</v>
          </cell>
          <cell r="F256" t="str">
            <v>412722198609171549</v>
          </cell>
        </row>
        <row r="257">
          <cell r="C257" t="str">
            <v>蔡昭晶</v>
          </cell>
          <cell r="D257" t="str">
            <v>女</v>
          </cell>
          <cell r="E257">
            <v>31248</v>
          </cell>
          <cell r="F257" t="str">
            <v>460200198507201403</v>
          </cell>
        </row>
        <row r="258">
          <cell r="C258" t="str">
            <v>王小莉</v>
          </cell>
          <cell r="D258" t="str">
            <v>女</v>
          </cell>
          <cell r="E258">
            <v>31532</v>
          </cell>
          <cell r="F258" t="str">
            <v>411024198604303227</v>
          </cell>
        </row>
        <row r="259">
          <cell r="C259" t="str">
            <v>李娟</v>
          </cell>
          <cell r="D259" t="str">
            <v>女</v>
          </cell>
          <cell r="E259">
            <v>31438</v>
          </cell>
          <cell r="F259" t="str">
            <v>612324198601264028</v>
          </cell>
        </row>
        <row r="260">
          <cell r="C260" t="str">
            <v>胡华勇</v>
          </cell>
          <cell r="D260" t="str">
            <v>男</v>
          </cell>
          <cell r="E260">
            <v>29114</v>
          </cell>
          <cell r="F260" t="str">
            <v>430602197909161015</v>
          </cell>
        </row>
        <row r="261">
          <cell r="C261" t="str">
            <v>滕娅敏</v>
          </cell>
          <cell r="D261" t="str">
            <v>女</v>
          </cell>
          <cell r="E261">
            <v>30209</v>
          </cell>
          <cell r="F261" t="str">
            <v>411024820915260</v>
          </cell>
        </row>
        <row r="262">
          <cell r="C262" t="str">
            <v>李艳芳</v>
          </cell>
          <cell r="D262" t="str">
            <v>女</v>
          </cell>
          <cell r="E262">
            <v>29922</v>
          </cell>
          <cell r="F262" t="str">
            <v>412722198112021545</v>
          </cell>
        </row>
        <row r="263">
          <cell r="C263" t="str">
            <v>曾苏远</v>
          </cell>
          <cell r="D263" t="str">
            <v>男</v>
          </cell>
          <cell r="E263">
            <v>31372</v>
          </cell>
          <cell r="F263" t="str">
            <v>441621198511215315</v>
          </cell>
        </row>
        <row r="264">
          <cell r="C264" t="str">
            <v>刘培</v>
          </cell>
          <cell r="D264" t="str">
            <v>女</v>
          </cell>
          <cell r="E264">
            <v>30696</v>
          </cell>
          <cell r="F264" t="str">
            <v>411024198401152529</v>
          </cell>
        </row>
        <row r="265">
          <cell r="C265" t="str">
            <v>刘侃</v>
          </cell>
          <cell r="D265" t="str">
            <v>男</v>
          </cell>
          <cell r="E265">
            <v>31481</v>
          </cell>
          <cell r="F265" t="str">
            <v>430681198603109337</v>
          </cell>
        </row>
        <row r="266">
          <cell r="C266" t="str">
            <v>蒋润秀</v>
          </cell>
          <cell r="D266" t="str">
            <v>女</v>
          </cell>
          <cell r="E266">
            <v>30980</v>
          </cell>
          <cell r="F266" t="str">
            <v>450325198410250402</v>
          </cell>
        </row>
        <row r="267">
          <cell r="C267" t="str">
            <v>易芳</v>
          </cell>
          <cell r="D267" t="str">
            <v>女</v>
          </cell>
          <cell r="E267">
            <v>30615</v>
          </cell>
          <cell r="F267" t="str">
            <v>430681198310269345</v>
          </cell>
        </row>
        <row r="268">
          <cell r="C268" t="str">
            <v>董辛欣</v>
          </cell>
          <cell r="D268" t="str">
            <v>女</v>
          </cell>
          <cell r="E268">
            <v>30717</v>
          </cell>
          <cell r="F268" t="str">
            <v>411303840205452</v>
          </cell>
        </row>
        <row r="269">
          <cell r="C269" t="str">
            <v>李香丽</v>
          </cell>
          <cell r="D269" t="str">
            <v>女</v>
          </cell>
          <cell r="E269">
            <v>31369</v>
          </cell>
          <cell r="F269" t="str">
            <v>411302198511181329</v>
          </cell>
        </row>
        <row r="270">
          <cell r="C270" t="str">
            <v>马兵</v>
          </cell>
          <cell r="D270" t="str">
            <v>女</v>
          </cell>
          <cell r="E270">
            <v>30901</v>
          </cell>
          <cell r="F270" t="str">
            <v>411324840807582</v>
          </cell>
        </row>
        <row r="271">
          <cell r="C271" t="str">
            <v>尚妍</v>
          </cell>
          <cell r="D271" t="str">
            <v>女</v>
          </cell>
          <cell r="E271">
            <v>30083</v>
          </cell>
          <cell r="F271" t="str">
            <v>411324820512112</v>
          </cell>
        </row>
        <row r="272">
          <cell r="C272" t="str">
            <v>陈波</v>
          </cell>
          <cell r="D272" t="str">
            <v>女</v>
          </cell>
          <cell r="E272">
            <v>28670</v>
          </cell>
          <cell r="F272" t="str">
            <v>430321780802355</v>
          </cell>
        </row>
        <row r="273">
          <cell r="C273" t="str">
            <v>王胜</v>
          </cell>
          <cell r="D273" t="str">
            <v>女</v>
          </cell>
          <cell r="E273">
            <v>30921</v>
          </cell>
          <cell r="F273" t="str">
            <v>421123198408270019</v>
          </cell>
        </row>
        <row r="274">
          <cell r="C274" t="str">
            <v>尧勇田</v>
          </cell>
          <cell r="D274" t="str">
            <v>男</v>
          </cell>
          <cell r="E274">
            <v>27330</v>
          </cell>
          <cell r="F274" t="str">
            <v>362502197410285834</v>
          </cell>
        </row>
        <row r="275">
          <cell r="C275" t="str">
            <v>王海霞</v>
          </cell>
          <cell r="D275" t="str">
            <v>女</v>
          </cell>
          <cell r="E275">
            <v>31481</v>
          </cell>
          <cell r="F275" t="str">
            <v>411324198603105903</v>
          </cell>
        </row>
        <row r="276">
          <cell r="C276" t="str">
            <v>彭耐选</v>
          </cell>
          <cell r="D276" t="str">
            <v>女</v>
          </cell>
          <cell r="E276">
            <v>30998</v>
          </cell>
          <cell r="F276" t="str">
            <v>41132419841112582X</v>
          </cell>
        </row>
        <row r="277">
          <cell r="C277" t="str">
            <v>肖永霞</v>
          </cell>
          <cell r="D277" t="str">
            <v>女</v>
          </cell>
          <cell r="E277">
            <v>29874</v>
          </cell>
          <cell r="F277" t="str">
            <v>412723811015294</v>
          </cell>
        </row>
        <row r="278">
          <cell r="C278" t="str">
            <v>陶林</v>
          </cell>
          <cell r="D278" t="str">
            <v>女</v>
          </cell>
          <cell r="E278">
            <v>31366</v>
          </cell>
          <cell r="F278" t="str">
            <v>430527198511154823</v>
          </cell>
        </row>
        <row r="279">
          <cell r="C279" t="str">
            <v>邓晓情</v>
          </cell>
          <cell r="D279" t="str">
            <v>女</v>
          </cell>
          <cell r="E279">
            <v>30590</v>
          </cell>
          <cell r="F279" t="str">
            <v>421181198310011725</v>
          </cell>
        </row>
        <row r="280">
          <cell r="C280" t="str">
            <v>刘慧娟</v>
          </cell>
          <cell r="D280" t="str">
            <v>女</v>
          </cell>
          <cell r="E280">
            <v>31772</v>
          </cell>
          <cell r="F280" t="str">
            <v>421181198612261324</v>
          </cell>
        </row>
        <row r="281">
          <cell r="C281" t="str">
            <v>石爱凤</v>
          </cell>
          <cell r="D281" t="str">
            <v>女</v>
          </cell>
          <cell r="E281">
            <v>30574</v>
          </cell>
          <cell r="F281" t="str">
            <v>452702198309152663</v>
          </cell>
        </row>
        <row r="282">
          <cell r="C282" t="str">
            <v>王世娥</v>
          </cell>
          <cell r="D282" t="str">
            <v>女</v>
          </cell>
          <cell r="E282">
            <v>29926</v>
          </cell>
          <cell r="F282" t="str">
            <v>411303811206428</v>
          </cell>
        </row>
        <row r="283">
          <cell r="C283" t="str">
            <v>罗丽华</v>
          </cell>
          <cell r="D283" t="str">
            <v>女</v>
          </cell>
          <cell r="E283">
            <v>30798</v>
          </cell>
          <cell r="F283" t="str">
            <v>430124198404261243</v>
          </cell>
        </row>
        <row r="284">
          <cell r="C284" t="str">
            <v>杨燕</v>
          </cell>
          <cell r="D284" t="str">
            <v>女</v>
          </cell>
          <cell r="E284">
            <v>31575</v>
          </cell>
          <cell r="F284" t="str">
            <v>411324198606120922</v>
          </cell>
        </row>
        <row r="285">
          <cell r="C285" t="str">
            <v>陆燕瑞</v>
          </cell>
          <cell r="D285" t="str">
            <v>女</v>
          </cell>
          <cell r="E285">
            <v>31505</v>
          </cell>
          <cell r="F285" t="str">
            <v>411324198604030966</v>
          </cell>
        </row>
        <row r="286">
          <cell r="C286" t="str">
            <v>张礼琼</v>
          </cell>
          <cell r="D286" t="str">
            <v>女</v>
          </cell>
          <cell r="E286">
            <v>29375</v>
          </cell>
          <cell r="F286" t="str">
            <v>510230800603232</v>
          </cell>
        </row>
        <row r="287">
          <cell r="C287" t="str">
            <v>胡营年</v>
          </cell>
          <cell r="D287" t="str">
            <v>女</v>
          </cell>
          <cell r="E287">
            <v>31110</v>
          </cell>
          <cell r="F287" t="str">
            <v>411303198503043547</v>
          </cell>
        </row>
        <row r="288">
          <cell r="C288" t="str">
            <v>樊光香</v>
          </cell>
          <cell r="D288" t="str">
            <v>女</v>
          </cell>
          <cell r="E288">
            <v>29544</v>
          </cell>
          <cell r="F288" t="str">
            <v>412924801119062</v>
          </cell>
        </row>
        <row r="289">
          <cell r="C289" t="str">
            <v>曾琼燕</v>
          </cell>
          <cell r="D289" t="str">
            <v>女</v>
          </cell>
          <cell r="E289">
            <v>31016</v>
          </cell>
          <cell r="F289" t="str">
            <v>440981198411301760</v>
          </cell>
        </row>
        <row r="290">
          <cell r="C290" t="str">
            <v>传永会</v>
          </cell>
          <cell r="D290" t="str">
            <v>女</v>
          </cell>
          <cell r="E290">
            <v>30838</v>
          </cell>
          <cell r="F290" t="str">
            <v>512301197406057223</v>
          </cell>
        </row>
        <row r="291">
          <cell r="C291" t="str">
            <v>常亚娟</v>
          </cell>
          <cell r="D291" t="str">
            <v>女</v>
          </cell>
          <cell r="E291">
            <v>31762</v>
          </cell>
          <cell r="F291" t="str">
            <v>411123198612166540</v>
          </cell>
        </row>
        <row r="292">
          <cell r="C292" t="str">
            <v>李海艳</v>
          </cell>
          <cell r="D292" t="str">
            <v>女</v>
          </cell>
          <cell r="E292">
            <v>29026</v>
          </cell>
          <cell r="F292" t="str">
            <v>429001790620742</v>
          </cell>
        </row>
        <row r="293">
          <cell r="C293" t="str">
            <v xml:space="preserve">李琼 </v>
          </cell>
          <cell r="D293" t="str">
            <v>女</v>
          </cell>
          <cell r="E293">
            <v>29203</v>
          </cell>
          <cell r="F293" t="str">
            <v>429001197912142824</v>
          </cell>
        </row>
        <row r="294">
          <cell r="C294" t="str">
            <v>苟婉娟</v>
          </cell>
          <cell r="D294" t="str">
            <v>女</v>
          </cell>
          <cell r="E294">
            <v>30221</v>
          </cell>
          <cell r="F294" t="str">
            <v>610426198209272927</v>
          </cell>
        </row>
        <row r="295">
          <cell r="C295" t="str">
            <v>顾燕</v>
          </cell>
          <cell r="D295" t="str">
            <v>女</v>
          </cell>
          <cell r="E295">
            <v>31312</v>
          </cell>
          <cell r="F295" t="str">
            <v>360426198509222022</v>
          </cell>
        </row>
        <row r="296">
          <cell r="C296" t="str">
            <v>闵茶秀</v>
          </cell>
          <cell r="D296" t="str">
            <v>女</v>
          </cell>
          <cell r="E296">
            <v>30961</v>
          </cell>
          <cell r="F296" t="str">
            <v>36220419841006336X</v>
          </cell>
        </row>
        <row r="297">
          <cell r="C297" t="str">
            <v>汪琴</v>
          </cell>
          <cell r="D297" t="str">
            <v>女</v>
          </cell>
          <cell r="E297">
            <v>30926</v>
          </cell>
          <cell r="F297" t="str">
            <v>429004198409013148</v>
          </cell>
        </row>
        <row r="298">
          <cell r="C298" t="str">
            <v>雷艳会</v>
          </cell>
          <cell r="D298" t="str">
            <v>女</v>
          </cell>
          <cell r="E298">
            <v>30371</v>
          </cell>
          <cell r="F298" t="str">
            <v>410324830224312</v>
          </cell>
        </row>
        <row r="299">
          <cell r="C299" t="str">
            <v>王世华</v>
          </cell>
          <cell r="D299" t="str">
            <v>女</v>
          </cell>
          <cell r="E299">
            <v>30239</v>
          </cell>
          <cell r="F299" t="str">
            <v>411303821015400</v>
          </cell>
        </row>
        <row r="300">
          <cell r="C300" t="str">
            <v>马其选</v>
          </cell>
          <cell r="D300" t="str">
            <v>女</v>
          </cell>
          <cell r="E300">
            <v>30257</v>
          </cell>
          <cell r="F300" t="str">
            <v>411324198211020927</v>
          </cell>
        </row>
        <row r="301">
          <cell r="C301" t="str">
            <v>柯纷红</v>
          </cell>
          <cell r="D301" t="str">
            <v>女</v>
          </cell>
          <cell r="E301">
            <v>30228</v>
          </cell>
          <cell r="F301" t="str">
            <v>420281821004244</v>
          </cell>
        </row>
        <row r="302">
          <cell r="C302" t="str">
            <v>王利娜</v>
          </cell>
          <cell r="D302" t="str">
            <v>女</v>
          </cell>
          <cell r="E302">
            <v>30930</v>
          </cell>
          <cell r="F302" t="str">
            <v>411002198409053527</v>
          </cell>
        </row>
        <row r="303">
          <cell r="C303" t="str">
            <v>王小丽</v>
          </cell>
          <cell r="D303" t="str">
            <v>女</v>
          </cell>
          <cell r="E303">
            <v>31340</v>
          </cell>
          <cell r="F303" t="str">
            <v>513022851020606</v>
          </cell>
        </row>
        <row r="304">
          <cell r="C304" t="str">
            <v>李兴芳</v>
          </cell>
          <cell r="D304" t="str">
            <v>女</v>
          </cell>
          <cell r="E304">
            <v>30166</v>
          </cell>
          <cell r="F304" t="str">
            <v>51302219820803606X</v>
          </cell>
        </row>
        <row r="305">
          <cell r="C305" t="str">
            <v>刘德湘</v>
          </cell>
          <cell r="D305" t="str">
            <v>女</v>
          </cell>
          <cell r="E305">
            <v>31157</v>
          </cell>
          <cell r="F305" t="str">
            <v>411303198504203522</v>
          </cell>
        </row>
        <row r="306">
          <cell r="C306" t="str">
            <v>杨利娟</v>
          </cell>
          <cell r="D306" t="str">
            <v>女</v>
          </cell>
          <cell r="E306">
            <v>29630</v>
          </cell>
          <cell r="F306" t="str">
            <v>430124810213916</v>
          </cell>
        </row>
        <row r="307">
          <cell r="C307" t="str">
            <v>欧慧</v>
          </cell>
          <cell r="D307" t="str">
            <v>女</v>
          </cell>
          <cell r="E307">
            <v>30594</v>
          </cell>
          <cell r="F307" t="str">
            <v>432924198310050109</v>
          </cell>
        </row>
        <row r="308">
          <cell r="C308" t="str">
            <v>赵华枝</v>
          </cell>
          <cell r="D308" t="str">
            <v>女</v>
          </cell>
          <cell r="E308">
            <v>30175</v>
          </cell>
          <cell r="F308" t="str">
            <v>412722820812492</v>
          </cell>
        </row>
        <row r="309">
          <cell r="C309" t="str">
            <v>覃小兰</v>
          </cell>
          <cell r="D309" t="str">
            <v>女</v>
          </cell>
          <cell r="E309">
            <v>30531</v>
          </cell>
          <cell r="F309" t="str">
            <v>452523830803352</v>
          </cell>
        </row>
        <row r="310">
          <cell r="C310" t="str">
            <v>申卫云</v>
          </cell>
          <cell r="D310" t="str">
            <v>女</v>
          </cell>
          <cell r="E310">
            <v>30816</v>
          </cell>
          <cell r="F310" t="str">
            <v>411123198405146520</v>
          </cell>
        </row>
        <row r="311">
          <cell r="C311" t="str">
            <v>杨芬</v>
          </cell>
          <cell r="D311" t="str">
            <v>女</v>
          </cell>
          <cell r="E311">
            <v>30563</v>
          </cell>
          <cell r="F311" t="str">
            <v>411303198309043922</v>
          </cell>
        </row>
        <row r="312">
          <cell r="C312" t="str">
            <v>张小灵</v>
          </cell>
          <cell r="D312" t="str">
            <v>女</v>
          </cell>
          <cell r="E312">
            <v>29863</v>
          </cell>
          <cell r="F312" t="str">
            <v>412723811004252</v>
          </cell>
        </row>
        <row r="313">
          <cell r="C313" t="str">
            <v>魏凡</v>
          </cell>
          <cell r="D313" t="str">
            <v>女</v>
          </cell>
          <cell r="E313">
            <v>31496</v>
          </cell>
          <cell r="F313" t="str">
            <v>411324198603255821</v>
          </cell>
        </row>
        <row r="314">
          <cell r="C314" t="str">
            <v>杜变变</v>
          </cell>
          <cell r="D314" t="str">
            <v>女</v>
          </cell>
          <cell r="E314">
            <v>31543</v>
          </cell>
          <cell r="F314" t="str">
            <v>411324198605115849</v>
          </cell>
        </row>
        <row r="315">
          <cell r="C315" t="str">
            <v>杨腊芝</v>
          </cell>
          <cell r="D315" t="str">
            <v>女</v>
          </cell>
          <cell r="E315">
            <v>30701</v>
          </cell>
          <cell r="F315" t="str">
            <v>429001198401206122</v>
          </cell>
        </row>
        <row r="316">
          <cell r="C316" t="str">
            <v>王娥</v>
          </cell>
          <cell r="D316" t="str">
            <v>女</v>
          </cell>
          <cell r="E316">
            <v>31636</v>
          </cell>
          <cell r="F316" t="str">
            <v>411324198608120926</v>
          </cell>
        </row>
        <row r="317">
          <cell r="C317" t="str">
            <v>龙任翠</v>
          </cell>
          <cell r="D317" t="str">
            <v>女</v>
          </cell>
          <cell r="E317">
            <v>28474</v>
          </cell>
          <cell r="F317" t="str">
            <v>432924771215563</v>
          </cell>
        </row>
        <row r="318">
          <cell r="C318" t="str">
            <v>王中原</v>
          </cell>
          <cell r="D318" t="str">
            <v>女</v>
          </cell>
          <cell r="E318">
            <v>30927</v>
          </cell>
          <cell r="F318" t="str">
            <v>411324840902092</v>
          </cell>
        </row>
        <row r="319">
          <cell r="C319" t="str">
            <v>黄华萍</v>
          </cell>
          <cell r="D319" t="str">
            <v>女</v>
          </cell>
          <cell r="E319">
            <v>30969</v>
          </cell>
          <cell r="F319" t="str">
            <v>420821198410142547</v>
          </cell>
        </row>
        <row r="320">
          <cell r="C320" t="str">
            <v>陆利娜</v>
          </cell>
          <cell r="D320" t="str">
            <v>女</v>
          </cell>
          <cell r="E320">
            <v>30244</v>
          </cell>
          <cell r="F320" t="str">
            <v>10224821020102</v>
          </cell>
        </row>
        <row r="321">
          <cell r="C321" t="str">
            <v>袁芳</v>
          </cell>
          <cell r="D321" t="str">
            <v>女</v>
          </cell>
          <cell r="E321">
            <v>30962</v>
          </cell>
          <cell r="F321" t="str">
            <v>430621198412075027</v>
          </cell>
        </row>
        <row r="322">
          <cell r="C322" t="str">
            <v>尹瑞</v>
          </cell>
          <cell r="D322" t="str">
            <v>女</v>
          </cell>
          <cell r="E322">
            <v>30849</v>
          </cell>
          <cell r="F322" t="str">
            <v>41272119840616182X</v>
          </cell>
        </row>
        <row r="323">
          <cell r="C323" t="str">
            <v>肖银凤</v>
          </cell>
          <cell r="D323" t="str">
            <v>女</v>
          </cell>
          <cell r="E323">
            <v>30403</v>
          </cell>
          <cell r="F323" t="str">
            <v>412722198303280080</v>
          </cell>
        </row>
        <row r="324">
          <cell r="C324" t="str">
            <v>严莉娜</v>
          </cell>
          <cell r="D324" t="str">
            <v>女</v>
          </cell>
          <cell r="E324">
            <v>30428</v>
          </cell>
          <cell r="F324" t="str">
            <v>412721830422182</v>
          </cell>
        </row>
        <row r="325">
          <cell r="C325" t="str">
            <v>蒲玉霞</v>
          </cell>
          <cell r="D325" t="str">
            <v>女</v>
          </cell>
          <cell r="E325">
            <v>29805</v>
          </cell>
          <cell r="F325" t="str">
            <v>412721810807182</v>
          </cell>
        </row>
        <row r="326">
          <cell r="C326" t="str">
            <v>许艳红</v>
          </cell>
          <cell r="D326" t="str">
            <v>女</v>
          </cell>
          <cell r="E326">
            <v>31209</v>
          </cell>
          <cell r="F326" t="str">
            <v>411024198506111643</v>
          </cell>
        </row>
        <row r="327">
          <cell r="C327" t="str">
            <v>胡英</v>
          </cell>
          <cell r="D327" t="str">
            <v>女</v>
          </cell>
          <cell r="E327">
            <v>29038</v>
          </cell>
          <cell r="F327" t="str">
            <v>430611197907025526</v>
          </cell>
        </row>
        <row r="328">
          <cell r="C328" t="str">
            <v>张会娜</v>
          </cell>
          <cell r="D328" t="str">
            <v>女</v>
          </cell>
          <cell r="E328">
            <v>30012</v>
          </cell>
          <cell r="F328" t="str">
            <v>412721198203022627</v>
          </cell>
        </row>
        <row r="329">
          <cell r="C329" t="str">
            <v>何星云</v>
          </cell>
          <cell r="D329" t="str">
            <v>女</v>
          </cell>
          <cell r="E329">
            <v>31009</v>
          </cell>
          <cell r="F329" t="str">
            <v>412721198411235424</v>
          </cell>
        </row>
        <row r="330">
          <cell r="C330" t="str">
            <v>彭春丽</v>
          </cell>
          <cell r="D330" t="str">
            <v>女</v>
          </cell>
          <cell r="E330">
            <v>28861</v>
          </cell>
          <cell r="F330" t="str">
            <v>412722790106104</v>
          </cell>
        </row>
        <row r="331">
          <cell r="C331" t="str">
            <v>满言兰</v>
          </cell>
          <cell r="D331" t="str">
            <v>女</v>
          </cell>
          <cell r="E331">
            <v>28544</v>
          </cell>
          <cell r="F331" t="str">
            <v>422828780223152</v>
          </cell>
        </row>
        <row r="332">
          <cell r="C332" t="str">
            <v>李秋颂</v>
          </cell>
          <cell r="D332" t="str">
            <v>女</v>
          </cell>
          <cell r="E332">
            <v>31144</v>
          </cell>
          <cell r="F332" t="str">
            <v>421125198504070343</v>
          </cell>
        </row>
        <row r="333">
          <cell r="C333" t="str">
            <v>徐可</v>
          </cell>
          <cell r="D333" t="str">
            <v>女</v>
          </cell>
          <cell r="E333">
            <v>30108</v>
          </cell>
          <cell r="F333" t="str">
            <v>421125198206068309</v>
          </cell>
        </row>
        <row r="334">
          <cell r="C334" t="str">
            <v>张艳</v>
          </cell>
          <cell r="D334" t="str">
            <v>女</v>
          </cell>
          <cell r="E334">
            <v>30848</v>
          </cell>
          <cell r="F334" t="str">
            <v>420322198406153963</v>
          </cell>
        </row>
        <row r="335">
          <cell r="C335" t="str">
            <v>龚利平</v>
          </cell>
          <cell r="D335" t="str">
            <v>女</v>
          </cell>
          <cell r="E335">
            <v>30376</v>
          </cell>
          <cell r="F335" t="str">
            <v>421125830301004</v>
          </cell>
        </row>
        <row r="336">
          <cell r="C336" t="str">
            <v>李多多</v>
          </cell>
          <cell r="D336" t="str">
            <v>女</v>
          </cell>
          <cell r="E336">
            <v>30968</v>
          </cell>
          <cell r="F336" t="str">
            <v>421125198410138263</v>
          </cell>
        </row>
        <row r="337">
          <cell r="C337" t="str">
            <v>李秀珍</v>
          </cell>
          <cell r="D337" t="str">
            <v>女</v>
          </cell>
          <cell r="E337">
            <v>28688</v>
          </cell>
          <cell r="F337" t="str">
            <v>422127780717008</v>
          </cell>
        </row>
        <row r="338">
          <cell r="C338" t="str">
            <v>康黎黎</v>
          </cell>
          <cell r="D338" t="str">
            <v>女</v>
          </cell>
          <cell r="E338">
            <v>31028</v>
          </cell>
          <cell r="F338" t="str">
            <v>420621198412128668</v>
          </cell>
        </row>
        <row r="339">
          <cell r="C339" t="str">
            <v>王玉姣</v>
          </cell>
          <cell r="D339" t="str">
            <v>女</v>
          </cell>
          <cell r="E339">
            <v>31179</v>
          </cell>
          <cell r="F339" t="str">
            <v>421125198505127022</v>
          </cell>
        </row>
        <row r="340">
          <cell r="C340" t="str">
            <v>张思雨</v>
          </cell>
          <cell r="D340" t="str">
            <v>女</v>
          </cell>
          <cell r="E340">
            <v>31684</v>
          </cell>
          <cell r="F340" t="str">
            <v>421125198609296488</v>
          </cell>
        </row>
        <row r="341">
          <cell r="C341" t="str">
            <v>张无霄</v>
          </cell>
          <cell r="D341" t="str">
            <v>女</v>
          </cell>
          <cell r="E341">
            <v>30696</v>
          </cell>
          <cell r="F341" t="str">
            <v>421125198401150084</v>
          </cell>
        </row>
        <row r="342">
          <cell r="C342" t="str">
            <v>王鹏丽</v>
          </cell>
          <cell r="D342" t="str">
            <v>女</v>
          </cell>
          <cell r="E342">
            <v>31274</v>
          </cell>
          <cell r="F342" t="str">
            <v>652722198508150241</v>
          </cell>
        </row>
        <row r="343">
          <cell r="C343" t="str">
            <v>董艳艳</v>
          </cell>
          <cell r="D343" t="str">
            <v>女</v>
          </cell>
          <cell r="E343">
            <v>31627</v>
          </cell>
          <cell r="F343" t="str">
            <v>412721198608031820</v>
          </cell>
        </row>
        <row r="344">
          <cell r="C344" t="str">
            <v>温剑方</v>
          </cell>
          <cell r="D344" t="str">
            <v>女</v>
          </cell>
          <cell r="E344">
            <v>30542</v>
          </cell>
          <cell r="F344" t="str">
            <v>441602198308140435</v>
          </cell>
        </row>
        <row r="345">
          <cell r="C345" t="str">
            <v>刘兰</v>
          </cell>
          <cell r="D345" t="str">
            <v>女</v>
          </cell>
          <cell r="E345">
            <v>30622</v>
          </cell>
          <cell r="F345" t="str">
            <v>410224831102102</v>
          </cell>
        </row>
        <row r="346">
          <cell r="C346" t="str">
            <v>吴思</v>
          </cell>
          <cell r="D346" t="str">
            <v>女</v>
          </cell>
          <cell r="E346">
            <v>31580</v>
          </cell>
          <cell r="F346" t="str">
            <v>43012119860617574X</v>
          </cell>
        </row>
        <row r="347">
          <cell r="C347" t="str">
            <v>苟转丽</v>
          </cell>
          <cell r="D347" t="str">
            <v>女</v>
          </cell>
          <cell r="E347">
            <v>30677</v>
          </cell>
          <cell r="F347" t="str">
            <v>610426198312272925</v>
          </cell>
        </row>
        <row r="348">
          <cell r="C348" t="str">
            <v>严金霞</v>
          </cell>
          <cell r="D348" t="str">
            <v>女</v>
          </cell>
          <cell r="E348">
            <v>30121</v>
          </cell>
          <cell r="F348" t="str">
            <v>412721820619184</v>
          </cell>
        </row>
        <row r="349">
          <cell r="C349" t="str">
            <v>王红娜</v>
          </cell>
          <cell r="D349" t="str">
            <v>女</v>
          </cell>
          <cell r="E349">
            <v>30972</v>
          </cell>
          <cell r="F349" t="str">
            <v>412722841017252</v>
          </cell>
        </row>
        <row r="350">
          <cell r="C350" t="str">
            <v>王娜</v>
          </cell>
          <cell r="D350" t="str">
            <v>女</v>
          </cell>
          <cell r="E350">
            <v>31502</v>
          </cell>
          <cell r="F350" t="str">
            <v>362201198603310620</v>
          </cell>
        </row>
        <row r="351">
          <cell r="C351" t="str">
            <v>李梅</v>
          </cell>
          <cell r="D351" t="str">
            <v>女</v>
          </cell>
          <cell r="E351">
            <v>31692</v>
          </cell>
          <cell r="F351" t="str">
            <v>612321198610070728</v>
          </cell>
        </row>
        <row r="352">
          <cell r="C352" t="str">
            <v>吴冬艳</v>
          </cell>
          <cell r="D352" t="str">
            <v>女</v>
          </cell>
          <cell r="E352">
            <v>31395</v>
          </cell>
          <cell r="F352" t="str">
            <v>362201198512142828</v>
          </cell>
        </row>
        <row r="353">
          <cell r="C353" t="str">
            <v>宋彩云</v>
          </cell>
          <cell r="D353" t="str">
            <v>女</v>
          </cell>
          <cell r="E353">
            <v>30308</v>
          </cell>
          <cell r="F353" t="str">
            <v>412722198212234046</v>
          </cell>
        </row>
        <row r="354">
          <cell r="C354" t="str">
            <v>王晓娟</v>
          </cell>
          <cell r="D354" t="str">
            <v>女</v>
          </cell>
          <cell r="E354">
            <v>30207</v>
          </cell>
          <cell r="F354" t="str">
            <v>410422820913654</v>
          </cell>
        </row>
        <row r="355">
          <cell r="C355" t="str">
            <v>周艳</v>
          </cell>
          <cell r="D355" t="str">
            <v>女</v>
          </cell>
          <cell r="E355">
            <v>29806</v>
          </cell>
          <cell r="F355" t="str">
            <v>429001198108087427</v>
          </cell>
        </row>
        <row r="356">
          <cell r="C356" t="str">
            <v>王瑞丽</v>
          </cell>
          <cell r="D356" t="str">
            <v>女</v>
          </cell>
          <cell r="E356">
            <v>29351</v>
          </cell>
          <cell r="F356" t="str">
            <v>412721800510182</v>
          </cell>
        </row>
        <row r="357">
          <cell r="C357" t="str">
            <v>贾应</v>
          </cell>
          <cell r="D357" t="str">
            <v>女</v>
          </cell>
          <cell r="E357">
            <v>31618</v>
          </cell>
          <cell r="F357" t="str">
            <v>412721198607251821</v>
          </cell>
        </row>
        <row r="358">
          <cell r="C358" t="str">
            <v>陈艳杰</v>
          </cell>
          <cell r="D358" t="str">
            <v>女</v>
          </cell>
          <cell r="E358">
            <v>31717</v>
          </cell>
          <cell r="F358" t="str">
            <v>412721198611011863</v>
          </cell>
        </row>
        <row r="359">
          <cell r="C359" t="str">
            <v>刘红云</v>
          </cell>
          <cell r="D359" t="str">
            <v>女</v>
          </cell>
          <cell r="E359">
            <v>28840</v>
          </cell>
          <cell r="F359" t="str">
            <v>430523197812168022</v>
          </cell>
        </row>
        <row r="360">
          <cell r="C360" t="str">
            <v xml:space="preserve">张立勤   </v>
          </cell>
          <cell r="D360" t="str">
            <v>女</v>
          </cell>
          <cell r="E360">
            <v>31151</v>
          </cell>
          <cell r="F360" t="str">
            <v>412724198504147043</v>
          </cell>
        </row>
        <row r="361">
          <cell r="C361" t="str">
            <v>王素停</v>
          </cell>
          <cell r="D361" t="str">
            <v>女</v>
          </cell>
          <cell r="E361">
            <v>30878</v>
          </cell>
          <cell r="F361" t="str">
            <v>410198407156049</v>
          </cell>
        </row>
        <row r="362">
          <cell r="C362" t="str">
            <v>姚美平</v>
          </cell>
          <cell r="D362" t="str">
            <v>女</v>
          </cell>
          <cell r="E362">
            <v>31719</v>
          </cell>
          <cell r="F362" t="str">
            <v>450330198611030781</v>
          </cell>
        </row>
        <row r="363">
          <cell r="C363" t="str">
            <v>黄惠梅</v>
          </cell>
          <cell r="D363" t="str">
            <v>女</v>
          </cell>
          <cell r="E363">
            <v>29492</v>
          </cell>
          <cell r="F363" t="str">
            <v>441827800928642</v>
          </cell>
        </row>
        <row r="364">
          <cell r="C364" t="str">
            <v>姚时梅</v>
          </cell>
          <cell r="D364" t="str">
            <v>女</v>
          </cell>
          <cell r="E364">
            <v>31183</v>
          </cell>
          <cell r="F364" t="str">
            <v>450330198505160726</v>
          </cell>
        </row>
        <row r="365">
          <cell r="C365" t="str">
            <v>王东美</v>
          </cell>
          <cell r="D365" t="str">
            <v>女</v>
          </cell>
          <cell r="E365">
            <v>31321</v>
          </cell>
          <cell r="F365" t="str">
            <v>412722198510011043</v>
          </cell>
        </row>
        <row r="366">
          <cell r="C366" t="str">
            <v>翟秀</v>
          </cell>
          <cell r="D366" t="str">
            <v>女</v>
          </cell>
          <cell r="E366">
            <v>30716</v>
          </cell>
          <cell r="F366" t="str">
            <v>421125198402040629</v>
          </cell>
        </row>
        <row r="367">
          <cell r="C367" t="str">
            <v>赵末春</v>
          </cell>
          <cell r="D367" t="str">
            <v>女</v>
          </cell>
          <cell r="E367">
            <v>27529</v>
          </cell>
          <cell r="F367" t="str">
            <v>430626197505152420</v>
          </cell>
        </row>
        <row r="368">
          <cell r="C368" t="str">
            <v>鲍丽荣</v>
          </cell>
          <cell r="D368" t="str">
            <v>女</v>
          </cell>
          <cell r="E368">
            <v>30995</v>
          </cell>
          <cell r="F368" t="str">
            <v>362227198411090049</v>
          </cell>
        </row>
        <row r="369">
          <cell r="C369" t="str">
            <v>苏亚娟</v>
          </cell>
          <cell r="D369" t="str">
            <v>女</v>
          </cell>
          <cell r="E369">
            <v>30425</v>
          </cell>
          <cell r="F369" t="str">
            <v>410222198404195564</v>
          </cell>
        </row>
        <row r="370">
          <cell r="C370" t="str">
            <v>王锦茹</v>
          </cell>
          <cell r="D370" t="str">
            <v>女</v>
          </cell>
          <cell r="E370">
            <v>31417</v>
          </cell>
          <cell r="F370" t="str">
            <v>610528198601055722</v>
          </cell>
        </row>
        <row r="371">
          <cell r="C371" t="str">
            <v>余灿</v>
          </cell>
          <cell r="D371" t="str">
            <v>女</v>
          </cell>
          <cell r="E371">
            <v>31403</v>
          </cell>
          <cell r="F371" t="str">
            <v>421125198512221367</v>
          </cell>
        </row>
        <row r="372">
          <cell r="C372" t="str">
            <v>杨雪</v>
          </cell>
          <cell r="D372" t="str">
            <v>女</v>
          </cell>
          <cell r="E372">
            <v>31696</v>
          </cell>
          <cell r="F372" t="str">
            <v>411224198610116429</v>
          </cell>
        </row>
        <row r="373">
          <cell r="C373" t="str">
            <v>邓素侠</v>
          </cell>
          <cell r="D373" t="str">
            <v>女</v>
          </cell>
          <cell r="E373">
            <v>30638</v>
          </cell>
          <cell r="F373" t="str">
            <v>340304198311181248</v>
          </cell>
        </row>
        <row r="374">
          <cell r="C374" t="str">
            <v>刘文飞</v>
          </cell>
          <cell r="D374" t="str">
            <v>女</v>
          </cell>
          <cell r="E374">
            <v>30456</v>
          </cell>
          <cell r="F374" t="str">
            <v>430181198305207409</v>
          </cell>
        </row>
        <row r="375">
          <cell r="C375" t="str">
            <v>张桂丽</v>
          </cell>
          <cell r="D375" t="str">
            <v>女</v>
          </cell>
          <cell r="E375">
            <v>30496</v>
          </cell>
          <cell r="F375" t="str">
            <v>411322198306295349</v>
          </cell>
        </row>
        <row r="376">
          <cell r="C376" t="str">
            <v>胡润萍</v>
          </cell>
          <cell r="D376" t="str">
            <v>女</v>
          </cell>
          <cell r="E376">
            <v>30983</v>
          </cell>
          <cell r="F376" t="str">
            <v>430181198410287367</v>
          </cell>
        </row>
        <row r="377">
          <cell r="C377" t="str">
            <v>孔秀清</v>
          </cell>
          <cell r="D377" t="str">
            <v>女</v>
          </cell>
          <cell r="E377">
            <v>30774</v>
          </cell>
          <cell r="F377" t="str">
            <v>350825198404021324</v>
          </cell>
        </row>
        <row r="378">
          <cell r="C378" t="str">
            <v>陈小平</v>
          </cell>
          <cell r="D378" t="str">
            <v>女</v>
          </cell>
          <cell r="E378">
            <v>31531</v>
          </cell>
          <cell r="F378" t="str">
            <v>362201198604295426</v>
          </cell>
        </row>
        <row r="379">
          <cell r="C379" t="str">
            <v>曾琪</v>
          </cell>
          <cell r="D379" t="str">
            <v>女</v>
          </cell>
          <cell r="E379">
            <v>30593</v>
          </cell>
          <cell r="F379" t="str">
            <v>422325198310043242</v>
          </cell>
        </row>
        <row r="380">
          <cell r="C380" t="str">
            <v>杨兰</v>
          </cell>
          <cell r="D380" t="str">
            <v>女</v>
          </cell>
          <cell r="E380">
            <v>31457</v>
          </cell>
          <cell r="F380" t="str">
            <v>610528198602148648</v>
          </cell>
        </row>
        <row r="381">
          <cell r="C381" t="str">
            <v>尚亚丽</v>
          </cell>
          <cell r="D381" t="str">
            <v>女</v>
          </cell>
          <cell r="E381">
            <v>29983</v>
          </cell>
          <cell r="F381" t="str">
            <v>411121198202013522</v>
          </cell>
        </row>
        <row r="382">
          <cell r="C382" t="str">
            <v>吕细贵</v>
          </cell>
          <cell r="D382" t="str">
            <v>女</v>
          </cell>
          <cell r="E382">
            <v>30402</v>
          </cell>
          <cell r="F382" t="str">
            <v>422127830327232</v>
          </cell>
        </row>
        <row r="383">
          <cell r="C383" t="str">
            <v>裴耐青</v>
          </cell>
          <cell r="D383" t="str">
            <v>女</v>
          </cell>
          <cell r="E383">
            <v>31062</v>
          </cell>
          <cell r="F383" t="str">
            <v>41102419850115162X</v>
          </cell>
        </row>
        <row r="384">
          <cell r="C384" t="str">
            <v>王文静</v>
          </cell>
          <cell r="D384" t="str">
            <v>女</v>
          </cell>
          <cell r="E384">
            <v>30881</v>
          </cell>
          <cell r="F384" t="str">
            <v>412721198407183860</v>
          </cell>
        </row>
        <row r="385">
          <cell r="C385" t="str">
            <v>甘信萍</v>
          </cell>
          <cell r="D385" t="str">
            <v>女</v>
          </cell>
          <cell r="E385">
            <v>28392</v>
          </cell>
          <cell r="F385" t="str">
            <v>360302770924301</v>
          </cell>
        </row>
        <row r="386">
          <cell r="C386" t="str">
            <v>白俊慧</v>
          </cell>
          <cell r="D386" t="str">
            <v>女</v>
          </cell>
          <cell r="E386">
            <v>31208</v>
          </cell>
          <cell r="F386" t="str">
            <v>412721198506103862</v>
          </cell>
        </row>
        <row r="387">
          <cell r="C387" t="str">
            <v>丁耀红</v>
          </cell>
          <cell r="D387" t="str">
            <v>女</v>
          </cell>
          <cell r="E387">
            <v>28974</v>
          </cell>
          <cell r="F387" t="str">
            <v>412721197904293820</v>
          </cell>
        </row>
        <row r="388">
          <cell r="C388" t="str">
            <v>周景娜</v>
          </cell>
          <cell r="D388" t="str">
            <v>女</v>
          </cell>
          <cell r="E388">
            <v>30756</v>
          </cell>
          <cell r="F388" t="str">
            <v>411024198403151669</v>
          </cell>
        </row>
        <row r="389">
          <cell r="C389" t="str">
            <v>王莉君</v>
          </cell>
          <cell r="D389" t="str">
            <v>女</v>
          </cell>
          <cell r="E389">
            <v>31374</v>
          </cell>
          <cell r="F389" t="str">
            <v>412721198511233821</v>
          </cell>
        </row>
        <row r="390">
          <cell r="C390" t="str">
            <v>魏红</v>
          </cell>
          <cell r="D390" t="str">
            <v>女</v>
          </cell>
          <cell r="E390">
            <v>30693</v>
          </cell>
          <cell r="F390" t="str">
            <v>421125198401123326</v>
          </cell>
        </row>
        <row r="391">
          <cell r="C391" t="str">
            <v>李善英</v>
          </cell>
          <cell r="D391" t="str">
            <v>女</v>
          </cell>
          <cell r="E391">
            <v>29871</v>
          </cell>
          <cell r="F391" t="str">
            <v>432925811012094</v>
          </cell>
        </row>
        <row r="392">
          <cell r="C392" t="str">
            <v>蒙娜秀</v>
          </cell>
          <cell r="D392" t="str">
            <v>女</v>
          </cell>
          <cell r="E392">
            <v>30168</v>
          </cell>
          <cell r="F392" t="str">
            <v>452628198208052725</v>
          </cell>
        </row>
        <row r="393">
          <cell r="C393" t="str">
            <v>潘敏</v>
          </cell>
          <cell r="D393" t="str">
            <v>女</v>
          </cell>
          <cell r="E393">
            <v>30865</v>
          </cell>
          <cell r="F393" t="str">
            <v>522422198407020469</v>
          </cell>
        </row>
        <row r="394">
          <cell r="C394" t="str">
            <v>钟练菊</v>
          </cell>
          <cell r="D394" t="str">
            <v>女</v>
          </cell>
          <cell r="E394">
            <v>28074</v>
          </cell>
          <cell r="F394" t="str">
            <v>430626197611102128</v>
          </cell>
        </row>
        <row r="395">
          <cell r="C395" t="str">
            <v>李丽</v>
          </cell>
          <cell r="D395" t="str">
            <v>女</v>
          </cell>
          <cell r="E395">
            <v>30253</v>
          </cell>
          <cell r="F395" t="str">
            <v>420281821029002</v>
          </cell>
        </row>
        <row r="396">
          <cell r="C396" t="str">
            <v>容芬兰</v>
          </cell>
          <cell r="D396" t="str">
            <v>女</v>
          </cell>
          <cell r="E396">
            <v>29743</v>
          </cell>
          <cell r="F396" t="str">
            <v>432923198106063424</v>
          </cell>
        </row>
        <row r="397">
          <cell r="C397" t="str">
            <v>陈小燕</v>
          </cell>
          <cell r="D397" t="str">
            <v>女</v>
          </cell>
          <cell r="E397">
            <v>30817</v>
          </cell>
          <cell r="F397" t="str">
            <v>362228198405150048</v>
          </cell>
        </row>
        <row r="398">
          <cell r="C398" t="str">
            <v>王红丽</v>
          </cell>
          <cell r="D398" t="str">
            <v>女</v>
          </cell>
          <cell r="E398">
            <v>31650</v>
          </cell>
          <cell r="F398" t="str">
            <v>412722198608261067</v>
          </cell>
        </row>
        <row r="399">
          <cell r="C399" t="str">
            <v>袁明</v>
          </cell>
          <cell r="D399" t="str">
            <v>女</v>
          </cell>
          <cell r="E399">
            <v>31380</v>
          </cell>
          <cell r="F399" t="str">
            <v>430527198511296020</v>
          </cell>
        </row>
        <row r="400">
          <cell r="C400" t="str">
            <v>胡满珍</v>
          </cell>
          <cell r="D400">
            <v>0</v>
          </cell>
          <cell r="E400">
            <v>30240</v>
          </cell>
          <cell r="F400" t="str">
            <v>430626821016364</v>
          </cell>
        </row>
        <row r="401">
          <cell r="C401" t="str">
            <v>陈超延</v>
          </cell>
          <cell r="D401">
            <v>0</v>
          </cell>
          <cell r="E401">
            <v>31261</v>
          </cell>
          <cell r="F401" t="str">
            <v>440221198508021912</v>
          </cell>
        </row>
        <row r="402">
          <cell r="C402" t="str">
            <v>赵化青</v>
          </cell>
          <cell r="D402">
            <v>0</v>
          </cell>
          <cell r="E402">
            <v>31734</v>
          </cell>
          <cell r="F402" t="str">
            <v>61052819861118662x</v>
          </cell>
        </row>
        <row r="403">
          <cell r="C403" t="str">
            <v>周芬芬</v>
          </cell>
          <cell r="D403">
            <v>0</v>
          </cell>
          <cell r="E403">
            <v>31297</v>
          </cell>
          <cell r="F403" t="str">
            <v>420881198509073728</v>
          </cell>
        </row>
        <row r="404">
          <cell r="C404" t="str">
            <v>罗菲菲</v>
          </cell>
          <cell r="D404">
            <v>0</v>
          </cell>
          <cell r="E404">
            <v>31695</v>
          </cell>
          <cell r="F404" t="str">
            <v>610528198610105744</v>
          </cell>
        </row>
        <row r="405">
          <cell r="C405" t="str">
            <v>王晓谊</v>
          </cell>
          <cell r="D405">
            <v>0</v>
          </cell>
          <cell r="E405">
            <v>30701</v>
          </cell>
          <cell r="F405" t="str">
            <v>610502198401208225</v>
          </cell>
        </row>
        <row r="406">
          <cell r="C406" t="str">
            <v>范亚娟</v>
          </cell>
          <cell r="D406">
            <v>0</v>
          </cell>
          <cell r="E406">
            <v>30324</v>
          </cell>
          <cell r="F406" t="str">
            <v>512324830108120</v>
          </cell>
        </row>
        <row r="407">
          <cell r="C407" t="str">
            <v>皮小霞</v>
          </cell>
          <cell r="D407">
            <v>0</v>
          </cell>
          <cell r="E407">
            <v>31117</v>
          </cell>
          <cell r="F407" t="str">
            <v>420821198503116065</v>
          </cell>
        </row>
        <row r="408">
          <cell r="C408" t="str">
            <v>王媛</v>
          </cell>
          <cell r="D408">
            <v>0</v>
          </cell>
          <cell r="E408">
            <v>30575</v>
          </cell>
          <cell r="F408" t="str">
            <v>610422198309161727</v>
          </cell>
        </row>
        <row r="409">
          <cell r="C409" t="str">
            <v>张生龙</v>
          </cell>
          <cell r="D409">
            <v>0</v>
          </cell>
          <cell r="E409">
            <v>30123</v>
          </cell>
          <cell r="F409" t="str">
            <v>420381198206214653</v>
          </cell>
        </row>
        <row r="410">
          <cell r="C410" t="str">
            <v>温其钊</v>
          </cell>
          <cell r="D410">
            <v>0</v>
          </cell>
          <cell r="E410">
            <v>31440</v>
          </cell>
          <cell r="F410" t="str">
            <v>450722198601280412</v>
          </cell>
        </row>
        <row r="411">
          <cell r="C411" t="str">
            <v>张锡伟</v>
          </cell>
          <cell r="D411">
            <v>0</v>
          </cell>
          <cell r="E411">
            <v>29160</v>
          </cell>
          <cell r="F411" t="str">
            <v>230123791101127</v>
          </cell>
        </row>
        <row r="412">
          <cell r="C412" t="str">
            <v>胡洪平</v>
          </cell>
          <cell r="D412">
            <v>0</v>
          </cell>
          <cell r="E412">
            <v>29212</v>
          </cell>
          <cell r="F412" t="str">
            <v>512926197912230738</v>
          </cell>
        </row>
        <row r="413">
          <cell r="C413" t="str">
            <v>刘振华</v>
          </cell>
          <cell r="D413">
            <v>0</v>
          </cell>
          <cell r="E413">
            <v>27337</v>
          </cell>
          <cell r="F413" t="str">
            <v>422128197411010079</v>
          </cell>
        </row>
        <row r="414">
          <cell r="C414" t="str">
            <v>孙香华</v>
          </cell>
          <cell r="D414">
            <v>0</v>
          </cell>
          <cell r="E414">
            <v>31257</v>
          </cell>
          <cell r="F414" t="str">
            <v>432522198507294065</v>
          </cell>
        </row>
        <row r="415">
          <cell r="C415" t="str">
            <v>曾凡平</v>
          </cell>
          <cell r="D415">
            <v>0</v>
          </cell>
          <cell r="E415">
            <v>31187</v>
          </cell>
          <cell r="F415" t="str">
            <v>432522198505204062</v>
          </cell>
        </row>
        <row r="416">
          <cell r="C416" t="str">
            <v>刘亚芬</v>
          </cell>
          <cell r="D416">
            <v>0</v>
          </cell>
          <cell r="E416">
            <v>29155</v>
          </cell>
          <cell r="F416" t="str">
            <v>612323791027284</v>
          </cell>
        </row>
        <row r="417">
          <cell r="C417" t="str">
            <v>陈莲花</v>
          </cell>
          <cell r="D417">
            <v>0</v>
          </cell>
          <cell r="E417">
            <v>31524</v>
          </cell>
          <cell r="F417" t="str">
            <v>430421198604227901</v>
          </cell>
        </row>
        <row r="418">
          <cell r="C418" t="str">
            <v>谭永红</v>
          </cell>
          <cell r="D418">
            <v>0</v>
          </cell>
          <cell r="E418">
            <v>31467</v>
          </cell>
          <cell r="F418" t="str">
            <v>43252219860224412X</v>
          </cell>
        </row>
        <row r="419">
          <cell r="C419" t="str">
            <v>邓佩</v>
          </cell>
          <cell r="D419">
            <v>0</v>
          </cell>
          <cell r="E419">
            <v>31749</v>
          </cell>
          <cell r="F419" t="str">
            <v>432522198612034062</v>
          </cell>
        </row>
        <row r="420">
          <cell r="C420" t="str">
            <v>彭红梅</v>
          </cell>
          <cell r="D420">
            <v>0</v>
          </cell>
          <cell r="E420">
            <v>29194</v>
          </cell>
          <cell r="F420" t="str">
            <v>430421791205788</v>
          </cell>
        </row>
        <row r="421">
          <cell r="C421" t="str">
            <v>陈彩葵</v>
          </cell>
          <cell r="D421">
            <v>0</v>
          </cell>
          <cell r="E421">
            <v>31615</v>
          </cell>
          <cell r="F421" t="str">
            <v>432522198607224064</v>
          </cell>
        </row>
        <row r="422">
          <cell r="C422" t="str">
            <v>彭志文</v>
          </cell>
          <cell r="D422">
            <v>0</v>
          </cell>
          <cell r="E422">
            <v>31404</v>
          </cell>
          <cell r="F422" t="str">
            <v>432522198512234067</v>
          </cell>
        </row>
        <row r="423">
          <cell r="C423" t="str">
            <v>曾梦丽</v>
          </cell>
          <cell r="D423">
            <v>0</v>
          </cell>
          <cell r="E423">
            <v>31287</v>
          </cell>
          <cell r="F423" t="str">
            <v>432522198508284061</v>
          </cell>
        </row>
        <row r="424">
          <cell r="C424" t="str">
            <v>朱巧云</v>
          </cell>
          <cell r="D424">
            <v>0</v>
          </cell>
          <cell r="E424">
            <v>30957</v>
          </cell>
          <cell r="F424" t="str">
            <v>432522198410024165</v>
          </cell>
        </row>
        <row r="425">
          <cell r="C425" t="str">
            <v>李书娜</v>
          </cell>
          <cell r="D425">
            <v>0</v>
          </cell>
          <cell r="E425">
            <v>30010</v>
          </cell>
          <cell r="F425" t="str">
            <v>411303820228424</v>
          </cell>
        </row>
        <row r="426">
          <cell r="C426" t="str">
            <v>冯艳云</v>
          </cell>
          <cell r="D426">
            <v>0</v>
          </cell>
          <cell r="E426">
            <v>28857</v>
          </cell>
          <cell r="F426" t="str">
            <v>422129790102132</v>
          </cell>
        </row>
        <row r="427">
          <cell r="C427" t="str">
            <v>赵全营</v>
          </cell>
          <cell r="D427">
            <v>0</v>
          </cell>
          <cell r="E427">
            <v>29044</v>
          </cell>
          <cell r="F427" t="str">
            <v>422101197907086054</v>
          </cell>
        </row>
        <row r="428">
          <cell r="C428" t="str">
            <v>杜文娟</v>
          </cell>
          <cell r="D428">
            <v>0</v>
          </cell>
          <cell r="E428">
            <v>30170</v>
          </cell>
          <cell r="F428" t="str">
            <v>421122198208076346</v>
          </cell>
        </row>
        <row r="429">
          <cell r="C429" t="str">
            <v>岳静静</v>
          </cell>
          <cell r="D429">
            <v>0</v>
          </cell>
          <cell r="E429">
            <v>31375</v>
          </cell>
          <cell r="F429" t="str">
            <v>610124198511244522</v>
          </cell>
        </row>
        <row r="430">
          <cell r="C430" t="str">
            <v>游学群</v>
          </cell>
          <cell r="D430">
            <v>0</v>
          </cell>
          <cell r="E430">
            <v>30032</v>
          </cell>
          <cell r="F430" t="str">
            <v>430621820322272</v>
          </cell>
        </row>
        <row r="431">
          <cell r="C431" t="str">
            <v>周小英</v>
          </cell>
          <cell r="D431">
            <v>0</v>
          </cell>
          <cell r="E431">
            <v>30209</v>
          </cell>
          <cell r="F431" t="str">
            <v>511221820915716</v>
          </cell>
        </row>
        <row r="432">
          <cell r="C432" t="str">
            <v>彭双</v>
          </cell>
          <cell r="D432">
            <v>0</v>
          </cell>
          <cell r="E432">
            <v>31734</v>
          </cell>
          <cell r="F432" t="str">
            <v>430281198611186285</v>
          </cell>
        </row>
        <row r="433">
          <cell r="C433" t="str">
            <v>王岚</v>
          </cell>
          <cell r="D433">
            <v>0</v>
          </cell>
          <cell r="E433">
            <v>31362</v>
          </cell>
          <cell r="F433" t="str">
            <v>432522198511117424</v>
          </cell>
        </row>
        <row r="434">
          <cell r="C434" t="str">
            <v>张二花</v>
          </cell>
          <cell r="D434">
            <v>0</v>
          </cell>
          <cell r="E434">
            <v>30707</v>
          </cell>
          <cell r="F434" t="str">
            <v>372523840126842</v>
          </cell>
        </row>
        <row r="435">
          <cell r="C435" t="str">
            <v>杨梅</v>
          </cell>
          <cell r="D435">
            <v>0</v>
          </cell>
          <cell r="E435">
            <v>30857</v>
          </cell>
          <cell r="F435" t="str">
            <v>420526198406240828</v>
          </cell>
        </row>
        <row r="436">
          <cell r="C436" t="str">
            <v>杨春彦</v>
          </cell>
          <cell r="D436">
            <v>0</v>
          </cell>
          <cell r="E436">
            <v>31577</v>
          </cell>
          <cell r="F436" t="str">
            <v>411324198606140923</v>
          </cell>
        </row>
        <row r="437">
          <cell r="C437" t="str">
            <v>李兵</v>
          </cell>
          <cell r="D437">
            <v>0</v>
          </cell>
          <cell r="E437">
            <v>31744</v>
          </cell>
          <cell r="F437" t="str">
            <v>411303198611284225</v>
          </cell>
        </row>
        <row r="438">
          <cell r="C438" t="str">
            <v>孟小艳</v>
          </cell>
          <cell r="D438">
            <v>0</v>
          </cell>
          <cell r="E438">
            <v>30968</v>
          </cell>
          <cell r="F438" t="str">
            <v>610124198410132740</v>
          </cell>
        </row>
        <row r="439">
          <cell r="C439" t="str">
            <v>马小转</v>
          </cell>
          <cell r="D439">
            <v>0</v>
          </cell>
          <cell r="E439">
            <v>31275</v>
          </cell>
          <cell r="F439" t="str">
            <v>411324198508160920</v>
          </cell>
        </row>
        <row r="440">
          <cell r="C440" t="str">
            <v>任娟</v>
          </cell>
          <cell r="D440">
            <v>0</v>
          </cell>
          <cell r="E440">
            <v>31010</v>
          </cell>
          <cell r="F440" t="str">
            <v>410222198411244520</v>
          </cell>
        </row>
        <row r="441">
          <cell r="C441" t="str">
            <v>李明兰</v>
          </cell>
          <cell r="D441">
            <v>0</v>
          </cell>
          <cell r="E441">
            <v>29035</v>
          </cell>
          <cell r="F441" t="str">
            <v>513030790629722</v>
          </cell>
        </row>
        <row r="442">
          <cell r="C442" t="str">
            <v>厉红丽</v>
          </cell>
          <cell r="D442">
            <v>0</v>
          </cell>
          <cell r="E442">
            <v>30364</v>
          </cell>
          <cell r="F442" t="str">
            <v>410222830217602</v>
          </cell>
        </row>
        <row r="443">
          <cell r="C443" t="str">
            <v>苗珊</v>
          </cell>
          <cell r="D443">
            <v>0</v>
          </cell>
          <cell r="E443">
            <v>31279</v>
          </cell>
          <cell r="F443" t="str">
            <v>411324198508200929</v>
          </cell>
        </row>
        <row r="444">
          <cell r="C444" t="str">
            <v>刘敏莉</v>
          </cell>
          <cell r="D444">
            <v>0</v>
          </cell>
          <cell r="E444">
            <v>31394</v>
          </cell>
          <cell r="F444" t="str">
            <v>610124198512134544</v>
          </cell>
        </row>
        <row r="445">
          <cell r="C445" t="str">
            <v>李静平</v>
          </cell>
          <cell r="D445">
            <v>0</v>
          </cell>
          <cell r="E445">
            <v>31224</v>
          </cell>
          <cell r="F445" t="str">
            <v>610124198506263921</v>
          </cell>
        </row>
        <row r="446">
          <cell r="C446" t="str">
            <v>李士雯</v>
          </cell>
          <cell r="D446">
            <v>0</v>
          </cell>
          <cell r="E446">
            <v>31670</v>
          </cell>
          <cell r="F446" t="str">
            <v>411303198609156769</v>
          </cell>
        </row>
        <row r="447">
          <cell r="C447" t="str">
            <v>吴颜</v>
          </cell>
          <cell r="D447">
            <v>0</v>
          </cell>
          <cell r="E447">
            <v>29110</v>
          </cell>
          <cell r="F447" t="str">
            <v>412924197909124225</v>
          </cell>
        </row>
        <row r="448">
          <cell r="C448" t="str">
            <v>李萍</v>
          </cell>
          <cell r="D448">
            <v>0</v>
          </cell>
          <cell r="E448">
            <v>29953</v>
          </cell>
          <cell r="F448" t="str">
            <v>360312820102001</v>
          </cell>
        </row>
        <row r="449">
          <cell r="C449" t="str">
            <v>潘成坤</v>
          </cell>
          <cell r="D449">
            <v>0</v>
          </cell>
          <cell r="E449">
            <v>28555</v>
          </cell>
          <cell r="F449" t="str">
            <v>522624780306001</v>
          </cell>
        </row>
        <row r="450">
          <cell r="C450" t="str">
            <v>王仕伟</v>
          </cell>
          <cell r="D450">
            <v>0</v>
          </cell>
          <cell r="E450">
            <v>31400</v>
          </cell>
          <cell r="F450" t="str">
            <v>430524198512196671</v>
          </cell>
        </row>
        <row r="451">
          <cell r="C451" t="str">
            <v>刘娟娟</v>
          </cell>
          <cell r="D451">
            <v>0</v>
          </cell>
          <cell r="E451">
            <v>31691</v>
          </cell>
          <cell r="F451" t="str">
            <v>610426198610060023</v>
          </cell>
        </row>
        <row r="452">
          <cell r="C452" t="str">
            <v>杨岁利</v>
          </cell>
          <cell r="D452">
            <v>0</v>
          </cell>
          <cell r="E452">
            <v>28860</v>
          </cell>
          <cell r="F452" t="str">
            <v>610324197901052848</v>
          </cell>
        </row>
        <row r="453">
          <cell r="C453" t="str">
            <v>陈快快</v>
          </cell>
          <cell r="D453">
            <v>0</v>
          </cell>
          <cell r="E453">
            <v>31205</v>
          </cell>
          <cell r="F453" t="str">
            <v>610426198506070029</v>
          </cell>
        </row>
        <row r="454">
          <cell r="C454" t="str">
            <v>聂永霞</v>
          </cell>
          <cell r="D454">
            <v>0</v>
          </cell>
          <cell r="E454">
            <v>31400</v>
          </cell>
          <cell r="F454" t="str">
            <v>410222198512194526</v>
          </cell>
        </row>
        <row r="455">
          <cell r="C455" t="str">
            <v>于娜</v>
          </cell>
          <cell r="D455">
            <v>0</v>
          </cell>
          <cell r="E455">
            <v>30299</v>
          </cell>
          <cell r="F455" t="str">
            <v>410222821214402</v>
          </cell>
        </row>
        <row r="456">
          <cell r="C456" t="str">
            <v>李淑敏</v>
          </cell>
          <cell r="D456">
            <v>0</v>
          </cell>
          <cell r="E456">
            <v>30724</v>
          </cell>
          <cell r="F456" t="str">
            <v>61043119840212154X</v>
          </cell>
        </row>
        <row r="457">
          <cell r="C457" t="str">
            <v>孙海娟</v>
          </cell>
          <cell r="D457">
            <v>0</v>
          </cell>
          <cell r="E457">
            <v>29619</v>
          </cell>
          <cell r="F457" t="str">
            <v>610528810202122</v>
          </cell>
        </row>
        <row r="458">
          <cell r="C458" t="str">
            <v>成莉侠</v>
          </cell>
          <cell r="D458">
            <v>0</v>
          </cell>
          <cell r="E458">
            <v>29356</v>
          </cell>
          <cell r="F458" t="str">
            <v>610324198000515527</v>
          </cell>
        </row>
        <row r="459">
          <cell r="C459" t="str">
            <v>李翠平</v>
          </cell>
          <cell r="D459">
            <v>0</v>
          </cell>
          <cell r="E459">
            <v>29043</v>
          </cell>
          <cell r="F459" t="str">
            <v>412902790707454</v>
          </cell>
        </row>
        <row r="460">
          <cell r="C460" t="str">
            <v>吴晓花</v>
          </cell>
          <cell r="D460">
            <v>0</v>
          </cell>
          <cell r="E460">
            <v>30550</v>
          </cell>
          <cell r="F460" t="str">
            <v>511321198308222925</v>
          </cell>
        </row>
        <row r="461">
          <cell r="C461" t="str">
            <v>郑亚芹</v>
          </cell>
          <cell r="D461">
            <v>0</v>
          </cell>
          <cell r="E461">
            <v>30022</v>
          </cell>
          <cell r="F461" t="str">
            <v>410411198203125588</v>
          </cell>
        </row>
        <row r="462">
          <cell r="C462" t="str">
            <v>戚仁凤</v>
          </cell>
          <cell r="D462">
            <v>0</v>
          </cell>
          <cell r="E462">
            <v>30115</v>
          </cell>
          <cell r="F462" t="str">
            <v>420982198206132323</v>
          </cell>
        </row>
        <row r="463">
          <cell r="C463" t="str">
            <v>吴小曼</v>
          </cell>
          <cell r="D463">
            <v>0</v>
          </cell>
          <cell r="E463">
            <v>31695</v>
          </cell>
          <cell r="F463" t="str">
            <v>430626198610103027</v>
          </cell>
        </row>
        <row r="464">
          <cell r="C464" t="str">
            <v>杨小苗</v>
          </cell>
          <cell r="D464">
            <v>0</v>
          </cell>
          <cell r="E464">
            <v>30808</v>
          </cell>
          <cell r="F464" t="str">
            <v>411381840506482</v>
          </cell>
        </row>
        <row r="465">
          <cell r="C465" t="str">
            <v>艾忠燕</v>
          </cell>
          <cell r="D465">
            <v>0</v>
          </cell>
          <cell r="E465">
            <v>30812</v>
          </cell>
          <cell r="F465" t="str">
            <v>51302919840510314X</v>
          </cell>
        </row>
        <row r="466">
          <cell r="C466" t="str">
            <v>雷培焕</v>
          </cell>
          <cell r="D466">
            <v>0</v>
          </cell>
          <cell r="E466">
            <v>30651</v>
          </cell>
          <cell r="F466" t="str">
            <v>411023831201502</v>
          </cell>
        </row>
        <row r="467">
          <cell r="C467" t="str">
            <v>殷二梅</v>
          </cell>
          <cell r="D467">
            <v>0</v>
          </cell>
          <cell r="E467">
            <v>30873</v>
          </cell>
          <cell r="F467" t="str">
            <v>340123198407102626</v>
          </cell>
        </row>
        <row r="468">
          <cell r="C468" t="str">
            <v>王苹</v>
          </cell>
          <cell r="D468">
            <v>0</v>
          </cell>
          <cell r="E468">
            <v>31682</v>
          </cell>
          <cell r="F468" t="str">
            <v>61250119860927602X</v>
          </cell>
        </row>
        <row r="469">
          <cell r="C469" t="str">
            <v>唐相英</v>
          </cell>
          <cell r="D469">
            <v>0</v>
          </cell>
          <cell r="E469">
            <v>31372</v>
          </cell>
          <cell r="F469" t="str">
            <v>50023419851121924X</v>
          </cell>
        </row>
        <row r="470">
          <cell r="C470" t="str">
            <v>周海燕</v>
          </cell>
          <cell r="D470">
            <v>0</v>
          </cell>
          <cell r="E470">
            <v>30240</v>
          </cell>
          <cell r="F470" t="str">
            <v>513622821016580</v>
          </cell>
        </row>
        <row r="471">
          <cell r="C471" t="str">
            <v>李祥鹏</v>
          </cell>
          <cell r="D471">
            <v>0</v>
          </cell>
          <cell r="E471">
            <v>30963</v>
          </cell>
          <cell r="F471" t="str">
            <v>342923198410086020</v>
          </cell>
        </row>
        <row r="472">
          <cell r="C472" t="str">
            <v>吴丽香</v>
          </cell>
          <cell r="D472">
            <v>0</v>
          </cell>
          <cell r="E472">
            <v>29345</v>
          </cell>
          <cell r="F472" t="str">
            <v>460003800504182</v>
          </cell>
        </row>
        <row r="473">
          <cell r="C473" t="str">
            <v>蔡小梅</v>
          </cell>
          <cell r="D473">
            <v>0</v>
          </cell>
          <cell r="E473">
            <v>27274</v>
          </cell>
          <cell r="F473" t="str">
            <v>422130740402132</v>
          </cell>
        </row>
        <row r="474">
          <cell r="C474" t="str">
            <v>张培彪</v>
          </cell>
          <cell r="D474">
            <v>0</v>
          </cell>
          <cell r="E474">
            <v>29314</v>
          </cell>
          <cell r="F474" t="str">
            <v>500233198004035810</v>
          </cell>
        </row>
        <row r="475">
          <cell r="C475" t="str">
            <v>梅太宝</v>
          </cell>
          <cell r="D475">
            <v>0</v>
          </cell>
          <cell r="E475">
            <v>28671</v>
          </cell>
          <cell r="F475" t="str">
            <v>610114197806302016</v>
          </cell>
        </row>
        <row r="476">
          <cell r="C476" t="str">
            <v>黄燕琴</v>
          </cell>
          <cell r="D476">
            <v>0</v>
          </cell>
          <cell r="E476">
            <v>31400</v>
          </cell>
          <cell r="F476" t="str">
            <v>362502198512195826</v>
          </cell>
        </row>
        <row r="477">
          <cell r="C477" t="str">
            <v>侯翠云</v>
          </cell>
          <cell r="D477">
            <v>0</v>
          </cell>
          <cell r="E477">
            <v>30792</v>
          </cell>
          <cell r="F477" t="str">
            <v>513721198404201706</v>
          </cell>
        </row>
        <row r="478">
          <cell r="C478" t="str">
            <v>陈寿辉</v>
          </cell>
          <cell r="D478">
            <v>0</v>
          </cell>
          <cell r="E478">
            <v>31090</v>
          </cell>
          <cell r="F478" t="str">
            <v>440902198502122455</v>
          </cell>
        </row>
        <row r="479">
          <cell r="C479" t="str">
            <v>江淑英</v>
          </cell>
          <cell r="D479">
            <v>0</v>
          </cell>
          <cell r="E479">
            <v>30581</v>
          </cell>
          <cell r="F479" t="str">
            <v>431023198309228161</v>
          </cell>
        </row>
        <row r="480">
          <cell r="C480" t="str">
            <v>陈苗苗</v>
          </cell>
          <cell r="D480">
            <v>0</v>
          </cell>
          <cell r="E480">
            <v>31609</v>
          </cell>
          <cell r="F480" t="str">
            <v>610528198607166626</v>
          </cell>
        </row>
        <row r="481">
          <cell r="C481" t="str">
            <v>彭志红</v>
          </cell>
          <cell r="D481">
            <v>0</v>
          </cell>
          <cell r="E481">
            <v>30612</v>
          </cell>
          <cell r="F481" t="str">
            <v>430421198310237880</v>
          </cell>
        </row>
        <row r="482">
          <cell r="C482" t="str">
            <v>张珍</v>
          </cell>
          <cell r="D482">
            <v>0</v>
          </cell>
          <cell r="E482">
            <v>30792</v>
          </cell>
          <cell r="F482" t="str">
            <v>41022419840420032X</v>
          </cell>
        </row>
        <row r="483">
          <cell r="C483" t="str">
            <v>徐欠欠</v>
          </cell>
          <cell r="D483">
            <v>0</v>
          </cell>
          <cell r="E483">
            <v>31445</v>
          </cell>
          <cell r="F483" t="str">
            <v>410224198602021023</v>
          </cell>
        </row>
        <row r="484">
          <cell r="C484" t="str">
            <v>孙军华</v>
          </cell>
          <cell r="D484">
            <v>0</v>
          </cell>
          <cell r="E484">
            <v>30091</v>
          </cell>
          <cell r="F484" t="str">
            <v>410222198205203082</v>
          </cell>
        </row>
        <row r="485">
          <cell r="C485" t="str">
            <v>李苗苗</v>
          </cell>
          <cell r="D485">
            <v>0</v>
          </cell>
          <cell r="E485">
            <v>30826</v>
          </cell>
          <cell r="F485" t="str">
            <v>410311198405246024</v>
          </cell>
        </row>
        <row r="486">
          <cell r="C486" t="str">
            <v>张春花</v>
          </cell>
          <cell r="D486">
            <v>0</v>
          </cell>
          <cell r="E486">
            <v>31515</v>
          </cell>
          <cell r="F486" t="str">
            <v>513029198604134168</v>
          </cell>
        </row>
        <row r="487">
          <cell r="C487" t="str">
            <v>董贺丽</v>
          </cell>
          <cell r="D487">
            <v>0</v>
          </cell>
          <cell r="E487">
            <v>30428</v>
          </cell>
          <cell r="F487" t="str">
            <v>412821830422202</v>
          </cell>
        </row>
        <row r="488">
          <cell r="C488" t="str">
            <v>张红丽</v>
          </cell>
          <cell r="D488">
            <v>0</v>
          </cell>
          <cell r="E488">
            <v>29926</v>
          </cell>
          <cell r="F488" t="str">
            <v>410222811206458</v>
          </cell>
        </row>
        <row r="489">
          <cell r="C489" t="str">
            <v>马平</v>
          </cell>
          <cell r="D489">
            <v>0</v>
          </cell>
          <cell r="E489">
            <v>31454</v>
          </cell>
          <cell r="F489" t="str">
            <v>421022198602117665</v>
          </cell>
        </row>
        <row r="490">
          <cell r="C490" t="str">
            <v>江林林</v>
          </cell>
          <cell r="D490">
            <v>0</v>
          </cell>
          <cell r="E490">
            <v>31043</v>
          </cell>
          <cell r="F490" t="str">
            <v>420821198412276063</v>
          </cell>
        </row>
        <row r="491">
          <cell r="C491" t="str">
            <v>谭欣欣</v>
          </cell>
          <cell r="D491">
            <v>0</v>
          </cell>
          <cell r="E491">
            <v>31710</v>
          </cell>
          <cell r="F491" t="str">
            <v>432522198610254088</v>
          </cell>
        </row>
        <row r="492">
          <cell r="C492" t="str">
            <v>冯露菊</v>
          </cell>
          <cell r="D492">
            <v>0</v>
          </cell>
          <cell r="E492">
            <v>31384</v>
          </cell>
          <cell r="F492" t="str">
            <v>420683198512036129</v>
          </cell>
        </row>
        <row r="493">
          <cell r="C493" t="str">
            <v>肖兰</v>
          </cell>
          <cell r="D493">
            <v>0</v>
          </cell>
          <cell r="E493">
            <v>28704</v>
          </cell>
          <cell r="F493" t="str">
            <v>512924780802002</v>
          </cell>
        </row>
        <row r="494">
          <cell r="C494" t="str">
            <v>彭永红</v>
          </cell>
          <cell r="D494">
            <v>0</v>
          </cell>
          <cell r="E494">
            <v>31661</v>
          </cell>
          <cell r="F494" t="str">
            <v>432522198609064105</v>
          </cell>
        </row>
        <row r="495">
          <cell r="C495" t="str">
            <v>杨霞</v>
          </cell>
          <cell r="D495">
            <v>0</v>
          </cell>
          <cell r="E495">
            <v>31319</v>
          </cell>
          <cell r="F495" t="str">
            <v>429001198509293387</v>
          </cell>
        </row>
        <row r="496">
          <cell r="C496" t="str">
            <v>周书香</v>
          </cell>
          <cell r="D496">
            <v>0</v>
          </cell>
          <cell r="E496">
            <v>30901</v>
          </cell>
          <cell r="F496" t="str">
            <v>429001198408077247</v>
          </cell>
        </row>
        <row r="497">
          <cell r="C497" t="str">
            <v>王英</v>
          </cell>
          <cell r="D497">
            <v>0</v>
          </cell>
          <cell r="E497">
            <v>30399</v>
          </cell>
          <cell r="F497" t="str">
            <v>410222830324452</v>
          </cell>
        </row>
        <row r="498">
          <cell r="C498" t="str">
            <v>戴霞</v>
          </cell>
          <cell r="D498">
            <v>0</v>
          </cell>
          <cell r="E498">
            <v>30648</v>
          </cell>
          <cell r="F498" t="str">
            <v>610124198311283949</v>
          </cell>
        </row>
        <row r="499">
          <cell r="C499" t="str">
            <v>娄方方</v>
          </cell>
          <cell r="D499">
            <v>0</v>
          </cell>
          <cell r="E499">
            <v>30697</v>
          </cell>
          <cell r="F499" t="str">
            <v>410222198401164084</v>
          </cell>
        </row>
        <row r="500">
          <cell r="C500" t="str">
            <v>吴娟</v>
          </cell>
          <cell r="D500">
            <v>0</v>
          </cell>
          <cell r="E500">
            <v>28978</v>
          </cell>
          <cell r="F500" t="str">
            <v>43068119790503492X</v>
          </cell>
        </row>
        <row r="501">
          <cell r="C501" t="str">
            <v>张蕾</v>
          </cell>
          <cell r="D501">
            <v>0</v>
          </cell>
          <cell r="E501">
            <v>30566</v>
          </cell>
          <cell r="F501" t="str">
            <v>452324198309070947</v>
          </cell>
        </row>
        <row r="502">
          <cell r="C502" t="str">
            <v>张方方</v>
          </cell>
          <cell r="D502">
            <v>0</v>
          </cell>
          <cell r="E502">
            <v>30391</v>
          </cell>
          <cell r="F502" t="str">
            <v>410222830316402</v>
          </cell>
        </row>
        <row r="503">
          <cell r="C503" t="str">
            <v>苏雄枚</v>
          </cell>
          <cell r="D503">
            <v>0</v>
          </cell>
          <cell r="E503">
            <v>29358</v>
          </cell>
          <cell r="F503" t="str">
            <v>362201800517526</v>
          </cell>
        </row>
        <row r="504">
          <cell r="C504" t="str">
            <v>杨群</v>
          </cell>
          <cell r="D504">
            <v>0</v>
          </cell>
          <cell r="E504">
            <v>31189</v>
          </cell>
          <cell r="F504" t="str">
            <v>61232319850522832X</v>
          </cell>
        </row>
        <row r="505">
          <cell r="C505" t="str">
            <v>李艳琼</v>
          </cell>
          <cell r="D505">
            <v>0</v>
          </cell>
          <cell r="E505">
            <v>31616</v>
          </cell>
          <cell r="F505" t="str">
            <v>420527198607232644</v>
          </cell>
        </row>
        <row r="506">
          <cell r="C506" t="str">
            <v>刘溪娟</v>
          </cell>
          <cell r="D506">
            <v>0</v>
          </cell>
          <cell r="E506">
            <v>30737</v>
          </cell>
          <cell r="F506" t="str">
            <v>422322198402254865</v>
          </cell>
        </row>
        <row r="507">
          <cell r="C507" t="str">
            <v>张腊梅</v>
          </cell>
          <cell r="D507">
            <v>0</v>
          </cell>
          <cell r="E507">
            <v>29948</v>
          </cell>
          <cell r="F507" t="str">
            <v>612321811228262</v>
          </cell>
        </row>
        <row r="508">
          <cell r="C508" t="str">
            <v>文华丽</v>
          </cell>
          <cell r="D508">
            <v>0</v>
          </cell>
          <cell r="E508">
            <v>29710</v>
          </cell>
          <cell r="F508" t="str">
            <v>421002810504242</v>
          </cell>
        </row>
        <row r="509">
          <cell r="C509" t="str">
            <v>薛笋</v>
          </cell>
          <cell r="D509">
            <v>0</v>
          </cell>
          <cell r="E509">
            <v>30155</v>
          </cell>
          <cell r="F509" t="str">
            <v>411381820723046</v>
          </cell>
        </row>
        <row r="510">
          <cell r="C510" t="str">
            <v>曾琪琦</v>
          </cell>
          <cell r="D510">
            <v>0</v>
          </cell>
          <cell r="E510">
            <v>31604</v>
          </cell>
          <cell r="F510" t="str">
            <v>43250319860711638X</v>
          </cell>
        </row>
        <row r="511">
          <cell r="C511" t="str">
            <v>梁丽娟</v>
          </cell>
          <cell r="D511">
            <v>0</v>
          </cell>
          <cell r="E511">
            <v>30514</v>
          </cell>
          <cell r="F511" t="str">
            <v>452729198307170622</v>
          </cell>
        </row>
        <row r="512">
          <cell r="C512" t="str">
            <v>张引娟</v>
          </cell>
          <cell r="D512">
            <v>0</v>
          </cell>
          <cell r="E512">
            <v>29257</v>
          </cell>
          <cell r="F512" t="str">
            <v>612133800206242</v>
          </cell>
        </row>
        <row r="513">
          <cell r="C513" t="str">
            <v>赵光玮</v>
          </cell>
          <cell r="D513">
            <v>0</v>
          </cell>
          <cell r="E513">
            <v>30928</v>
          </cell>
          <cell r="F513" t="str">
            <v>341182198409031028</v>
          </cell>
        </row>
        <row r="514">
          <cell r="C514" t="str">
            <v>赵末春</v>
          </cell>
          <cell r="D514">
            <v>0</v>
          </cell>
          <cell r="E514">
            <v>27529</v>
          </cell>
          <cell r="F514" t="str">
            <v>430626197505152420</v>
          </cell>
        </row>
        <row r="515">
          <cell r="C515" t="str">
            <v>鲍丽荣</v>
          </cell>
          <cell r="D515">
            <v>0</v>
          </cell>
          <cell r="E515">
            <v>30995</v>
          </cell>
          <cell r="F515" t="str">
            <v>362227198411090049</v>
          </cell>
        </row>
        <row r="516">
          <cell r="C516" t="str">
            <v>苏亚娟</v>
          </cell>
          <cell r="D516">
            <v>0</v>
          </cell>
          <cell r="E516">
            <v>30425</v>
          </cell>
          <cell r="F516" t="str">
            <v>410222198404195564</v>
          </cell>
        </row>
        <row r="517">
          <cell r="C517" t="str">
            <v>王锦茹</v>
          </cell>
          <cell r="D517">
            <v>0</v>
          </cell>
          <cell r="E517">
            <v>31417</v>
          </cell>
          <cell r="F517" t="str">
            <v>610528198601055722</v>
          </cell>
        </row>
        <row r="518">
          <cell r="C518" t="str">
            <v>余灿</v>
          </cell>
          <cell r="D518">
            <v>0</v>
          </cell>
          <cell r="E518">
            <v>31403</v>
          </cell>
          <cell r="F518" t="str">
            <v>421125198512221367</v>
          </cell>
        </row>
        <row r="519">
          <cell r="C519" t="str">
            <v>杨雪</v>
          </cell>
          <cell r="D519">
            <v>0</v>
          </cell>
          <cell r="E519">
            <v>31696</v>
          </cell>
          <cell r="F519" t="str">
            <v>411224198610116429</v>
          </cell>
        </row>
        <row r="520">
          <cell r="C520" t="str">
            <v>邓素侠</v>
          </cell>
          <cell r="D520">
            <v>0</v>
          </cell>
          <cell r="E520">
            <v>30638</v>
          </cell>
          <cell r="F520" t="str">
            <v>340304198311181248</v>
          </cell>
        </row>
        <row r="521">
          <cell r="C521" t="str">
            <v>刘文飞</v>
          </cell>
          <cell r="D521">
            <v>0</v>
          </cell>
          <cell r="E521">
            <v>30456</v>
          </cell>
          <cell r="F521" t="str">
            <v>430181198305207409</v>
          </cell>
        </row>
        <row r="522">
          <cell r="C522" t="str">
            <v>张桂丽</v>
          </cell>
          <cell r="D522">
            <v>0</v>
          </cell>
          <cell r="E522">
            <v>30496</v>
          </cell>
          <cell r="F522" t="str">
            <v>411322198306295349</v>
          </cell>
        </row>
        <row r="523">
          <cell r="C523" t="str">
            <v>胡润萍</v>
          </cell>
          <cell r="D523">
            <v>0</v>
          </cell>
          <cell r="E523">
            <v>30983</v>
          </cell>
          <cell r="F523" t="str">
            <v>430181198410287367</v>
          </cell>
        </row>
        <row r="524">
          <cell r="C524" t="str">
            <v>孔秀清</v>
          </cell>
          <cell r="D524">
            <v>0</v>
          </cell>
          <cell r="E524">
            <v>30774</v>
          </cell>
          <cell r="F524" t="str">
            <v>350825198404021324</v>
          </cell>
        </row>
        <row r="525">
          <cell r="C525" t="str">
            <v>陈小平</v>
          </cell>
          <cell r="D525">
            <v>0</v>
          </cell>
          <cell r="E525">
            <v>31531</v>
          </cell>
          <cell r="F525" t="str">
            <v>362201198604295426</v>
          </cell>
        </row>
        <row r="526">
          <cell r="C526" t="str">
            <v>曾琪</v>
          </cell>
          <cell r="D526">
            <v>0</v>
          </cell>
          <cell r="E526">
            <v>30593</v>
          </cell>
          <cell r="F526" t="str">
            <v>422325198310043242</v>
          </cell>
        </row>
        <row r="527">
          <cell r="C527" t="str">
            <v>杨兰</v>
          </cell>
          <cell r="D527">
            <v>0</v>
          </cell>
          <cell r="E527">
            <v>31457</v>
          </cell>
          <cell r="F527" t="str">
            <v>610528198602148648</v>
          </cell>
        </row>
        <row r="528">
          <cell r="C528" t="str">
            <v>尚亚丽</v>
          </cell>
          <cell r="D528">
            <v>0</v>
          </cell>
          <cell r="E528">
            <v>29983</v>
          </cell>
          <cell r="F528" t="str">
            <v>411121198202013522</v>
          </cell>
        </row>
        <row r="529">
          <cell r="C529" t="str">
            <v>吕细贵</v>
          </cell>
          <cell r="D529">
            <v>0</v>
          </cell>
          <cell r="E529">
            <v>30402</v>
          </cell>
          <cell r="F529" t="str">
            <v>422127830327232</v>
          </cell>
        </row>
      </sheetData>
      <sheetData sheetId="1" refreshError="1"/>
      <sheetData sheetId="2" refreshError="1"/>
      <sheetData sheetId="3" refreshError="1"/>
      <sheetData sheetId="4" refreshError="1"/>
      <sheetData sheetId="5" refreshError="1"/>
      <sheetData sheetId="6" refreshError="1"/>
      <sheetData sheetId="7"/>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oadmap_2006"/>
      <sheetName val="Energy solution"/>
      <sheetName val="Design_M6S"/>
      <sheetName val="OutputBOM"/>
      <sheetName val="Pocket die"/>
      <sheetName val="Reference data"/>
      <sheetName val="BOM"/>
      <sheetName val="Material list"/>
      <sheetName val="Coating_1"/>
      <sheetName val="Rhombic mandrel"/>
      <sheetName val="Electrode weight"/>
      <sheetName val="Anode"/>
      <sheetName val="Cathode"/>
      <sheetName val="Electrolyte"/>
      <sheetName val="Separator"/>
      <sheetName val="Packing foil"/>
      <sheetName val="Current collector"/>
      <sheetName val="Tab"/>
      <sheetName val="Sealent"/>
      <sheetName val="Adhesive tape"/>
      <sheetName val="Tray"/>
      <sheetName val="Electrolyte in cell"/>
      <sheetName val="Formulation"/>
    </sheetNames>
    <sheetDataSet>
      <sheetData sheetId="0"/>
      <sheetData sheetId="1"/>
      <sheetData sheetId="2">
        <row r="1">
          <cell r="B1" t="str">
            <v>344170</v>
          </cell>
        </row>
      </sheetData>
      <sheetData sheetId="3"/>
      <sheetData sheetId="4"/>
      <sheetData sheetId="5"/>
      <sheetData sheetId="6"/>
      <sheetData sheetId="7"/>
      <sheetData sheetId="8"/>
      <sheetData sheetId="9"/>
      <sheetData sheetId="10"/>
      <sheetData sheetId="11">
        <row r="10">
          <cell r="C10" t="str">
            <v>XT+E8</v>
          </cell>
        </row>
        <row r="11">
          <cell r="C11" t="str">
            <v>XT+E9</v>
          </cell>
        </row>
        <row r="12">
          <cell r="C12" t="str">
            <v>XT+E2</v>
          </cell>
        </row>
        <row r="13">
          <cell r="C13" t="str">
            <v>BTR+E8</v>
          </cell>
        </row>
        <row r="14">
          <cell r="C14" t="str">
            <v>BTR+E9</v>
          </cell>
        </row>
        <row r="15">
          <cell r="C15" t="str">
            <v>BTR+E2</v>
          </cell>
        </row>
        <row r="16">
          <cell r="C16" t="str">
            <v>BTR+ATL11</v>
          </cell>
        </row>
        <row r="17">
          <cell r="C17" t="str">
            <v>SAG+E8</v>
          </cell>
        </row>
        <row r="18">
          <cell r="C18" t="str">
            <v>XXX1+E8</v>
          </cell>
        </row>
        <row r="19">
          <cell r="C19" t="str">
            <v>XXX2+E8</v>
          </cell>
        </row>
        <row r="20">
          <cell r="C20" t="str">
            <v>FSNC+E2</v>
          </cell>
        </row>
        <row r="21">
          <cell r="C21" t="str">
            <v>FSNC+E8</v>
          </cell>
        </row>
        <row r="22">
          <cell r="C22" t="str">
            <v>FSNC-1+E2</v>
          </cell>
        </row>
        <row r="23">
          <cell r="C23" t="str">
            <v>FSNC-1+ATL11</v>
          </cell>
        </row>
        <row r="24">
          <cell r="C24" t="str">
            <v>OMAC15+E2</v>
          </cell>
        </row>
        <row r="25">
          <cell r="C25" t="str">
            <v>BTR 818+E2</v>
          </cell>
        </row>
        <row r="26">
          <cell r="C26" t="str">
            <v>G25+E2</v>
          </cell>
        </row>
        <row r="27">
          <cell r="C27" t="str">
            <v>G25+E20</v>
          </cell>
        </row>
        <row r="28">
          <cell r="C28" t="str">
            <v>HCC+E20</v>
          </cell>
        </row>
      </sheetData>
      <sheetData sheetId="12">
        <row r="10">
          <cell r="C10" t="str">
            <v>03 LiCo+E8</v>
          </cell>
        </row>
        <row r="11">
          <cell r="C11" t="str">
            <v>03 LiCo+E9</v>
          </cell>
        </row>
        <row r="12">
          <cell r="C12" t="str">
            <v>03 LiCo+E2</v>
          </cell>
        </row>
        <row r="13">
          <cell r="C13" t="str">
            <v>05 LiCo+E8</v>
          </cell>
        </row>
        <row r="14">
          <cell r="C14" t="str">
            <v>05 LiCo+E9</v>
          </cell>
        </row>
        <row r="15">
          <cell r="C15" t="str">
            <v>05 LiCo+E2</v>
          </cell>
        </row>
        <row r="16">
          <cell r="C16" t="str">
            <v>YY LiNCM+E8</v>
          </cell>
        </row>
        <row r="17">
          <cell r="C17" t="str">
            <v>BD LiNiCoMn+E8</v>
          </cell>
        </row>
        <row r="18">
          <cell r="C18" t="str">
            <v>YY LiNCM+E8</v>
          </cell>
        </row>
        <row r="19">
          <cell r="C19" t="str">
            <v>YY LiNCM+E2</v>
          </cell>
        </row>
        <row r="20">
          <cell r="C20" t="str">
            <v>YY LiNCM+ATL11</v>
          </cell>
        </row>
        <row r="21">
          <cell r="C21" t="str">
            <v>YY LiNCM+E4</v>
          </cell>
        </row>
        <row r="22">
          <cell r="C22" t="str">
            <v>LC400+E2</v>
          </cell>
        </row>
        <row r="23">
          <cell r="C23" t="str">
            <v>ZH LiNCM+E2</v>
          </cell>
        </row>
        <row r="24">
          <cell r="C24" t="str">
            <v>MD LiCo+E2</v>
          </cell>
        </row>
        <row r="25">
          <cell r="C25" t="str">
            <v>LC400+E20</v>
          </cell>
        </row>
        <row r="26">
          <cell r="C26" t="str">
            <v>BD LiFePO4+E2</v>
          </cell>
        </row>
        <row r="27">
          <cell r="C27" t="str">
            <v>LC400+E8</v>
          </cell>
        </row>
        <row r="28">
          <cell r="C28" t="str">
            <v>MD LiCo+E8</v>
          </cell>
        </row>
      </sheetData>
      <sheetData sheetId="13">
        <row r="10">
          <cell r="C10" t="str">
            <v>E1</v>
          </cell>
        </row>
        <row r="11">
          <cell r="C11" t="str">
            <v>E2</v>
          </cell>
        </row>
        <row r="12">
          <cell r="C12" t="str">
            <v>E3</v>
          </cell>
        </row>
        <row r="13">
          <cell r="C13" t="str">
            <v>E4</v>
          </cell>
        </row>
        <row r="14">
          <cell r="C14" t="str">
            <v>ATL-11</v>
          </cell>
        </row>
        <row r="15">
          <cell r="C15" t="str">
            <v>E2+V20</v>
          </cell>
        </row>
        <row r="16">
          <cell r="C16" t="str">
            <v>E8</v>
          </cell>
        </row>
        <row r="17">
          <cell r="C17" t="str">
            <v>E9</v>
          </cell>
        </row>
        <row r="18">
          <cell r="C18" t="str">
            <v>E20</v>
          </cell>
        </row>
      </sheetData>
      <sheetData sheetId="14"/>
      <sheetData sheetId="15"/>
      <sheetData sheetId="16"/>
      <sheetData sheetId="17"/>
      <sheetData sheetId="18"/>
      <sheetData sheetId="19"/>
      <sheetData sheetId="20"/>
      <sheetData sheetId="21"/>
      <sheetData sheetId="22"/>
    </sheetDataSet>
  </externalBook>
</externalLink>
</file>

<file path=xl/externalLinks/externalLink9.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UM"/>
      <sheetName val="Cell"/>
      <sheetName val="Sorting(成品仓）"/>
      <sheetName val="0L2"/>
      <sheetName val="ACE(P1)"/>
      <sheetName val="ACE(M6)"/>
      <sheetName val="CCE(P1)"/>
      <sheetName val="CCE(M6)"/>
      <sheetName val="Seperater-P1"/>
      <sheetName val="Seperater-M6"/>
      <sheetName val="CL1"/>
      <sheetName val="AL1"/>
      <sheetName val="Coating CEC(M6)"/>
      <sheetName val="DefectCode"/>
    </sheetNames>
    <sheetDataSet>
      <sheetData sheetId="0" refreshError="1"/>
      <sheetData sheetId="1" refreshError="1"/>
      <sheetData sheetId="2" refreshError="1"/>
      <sheetData sheetId="3" refreshError="1">
        <row r="3">
          <cell r="I3" t="str">
            <v>A001</v>
          </cell>
          <cell r="J3" t="str">
            <v>A002</v>
          </cell>
          <cell r="K3" t="str">
            <v>A004</v>
          </cell>
          <cell r="L3" t="str">
            <v>A005</v>
          </cell>
          <cell r="M3" t="str">
            <v>A007</v>
          </cell>
          <cell r="N3" t="str">
            <v>A010</v>
          </cell>
          <cell r="O3" t="str">
            <v>A011</v>
          </cell>
          <cell r="P3" t="str">
            <v>A013</v>
          </cell>
          <cell r="Q3" t="str">
            <v>A014</v>
          </cell>
          <cell r="R3" t="str">
            <v>A016</v>
          </cell>
          <cell r="S3" t="str">
            <v>A018</v>
          </cell>
          <cell r="T3" t="str">
            <v>A020</v>
          </cell>
          <cell r="U3" t="str">
            <v>A021</v>
          </cell>
          <cell r="V3" t="str">
            <v>A023</v>
          </cell>
          <cell r="W3" t="str">
            <v>A025</v>
          </cell>
          <cell r="X3" t="str">
            <v>A030</v>
          </cell>
          <cell r="Y3" t="str">
            <v>A032</v>
          </cell>
          <cell r="Z3" t="str">
            <v>A033</v>
          </cell>
          <cell r="AA3" t="str">
            <v>A034</v>
          </cell>
          <cell r="AB3" t="str">
            <v>A035</v>
          </cell>
          <cell r="AC3" t="str">
            <v>A044</v>
          </cell>
          <cell r="AD3" t="str">
            <v>D001</v>
          </cell>
          <cell r="AE3" t="str">
            <v>D002</v>
          </cell>
          <cell r="AF3" t="str">
            <v>D003</v>
          </cell>
          <cell r="AG3" t="str">
            <v>D006</v>
          </cell>
          <cell r="AH3" t="str">
            <v>D011</v>
          </cell>
          <cell r="AI3" t="str">
            <v>D013</v>
          </cell>
          <cell r="AJ3" t="str">
            <v>D014</v>
          </cell>
          <cell r="AK3" t="str">
            <v>D015</v>
          </cell>
          <cell r="AL3" t="str">
            <v>D017</v>
          </cell>
          <cell r="AM3" t="str">
            <v>D018</v>
          </cell>
          <cell r="AN3" t="str">
            <v>D019</v>
          </cell>
          <cell r="AO3" t="str">
            <v>D021</v>
          </cell>
          <cell r="AP3" t="str">
            <v>D022</v>
          </cell>
          <cell r="AQ3" t="str">
            <v>D024</v>
          </cell>
          <cell r="AR3" t="str">
            <v>D025</v>
          </cell>
          <cell r="AS3" t="str">
            <v>D026</v>
          </cell>
          <cell r="AT3" t="str">
            <v>D027</v>
          </cell>
          <cell r="AU3" t="str">
            <v>D028</v>
          </cell>
          <cell r="AV3" t="str">
            <v>D030</v>
          </cell>
          <cell r="AW3" t="str">
            <v>D031</v>
          </cell>
          <cell r="AX3" t="str">
            <v>D033</v>
          </cell>
          <cell r="AY3" t="str">
            <v>D036</v>
          </cell>
          <cell r="AZ3" t="str">
            <v>D039</v>
          </cell>
          <cell r="BA3" t="str">
            <v>D040</v>
          </cell>
          <cell r="BB3" t="str">
            <v>D046</v>
          </cell>
          <cell r="BC3" t="str">
            <v>D047</v>
          </cell>
          <cell r="BD3" t="str">
            <v>D050</v>
          </cell>
          <cell r="BE3" t="str">
            <v>D051</v>
          </cell>
          <cell r="BF3" t="str">
            <v>D056</v>
          </cell>
          <cell r="BG3" t="str">
            <v>D060</v>
          </cell>
          <cell r="BH3" t="str">
            <v>K002</v>
          </cell>
          <cell r="BI3" t="str">
            <v>K003</v>
          </cell>
          <cell r="BJ3" t="str">
            <v>K004</v>
          </cell>
        </row>
        <row r="7">
          <cell r="I7">
            <v>62</v>
          </cell>
          <cell r="J7">
            <v>396</v>
          </cell>
          <cell r="K7">
            <v>12</v>
          </cell>
          <cell r="L7">
            <v>1028</v>
          </cell>
          <cell r="M7">
            <v>745</v>
          </cell>
          <cell r="N7">
            <v>2</v>
          </cell>
          <cell r="O7">
            <v>2</v>
          </cell>
          <cell r="P7">
            <v>10712</v>
          </cell>
          <cell r="Q7">
            <v>352</v>
          </cell>
          <cell r="R7">
            <v>3</v>
          </cell>
          <cell r="S7">
            <v>266</v>
          </cell>
          <cell r="T7">
            <v>226</v>
          </cell>
          <cell r="U7">
            <v>12573</v>
          </cell>
          <cell r="V7">
            <v>26</v>
          </cell>
          <cell r="W7">
            <v>132</v>
          </cell>
          <cell r="X7">
            <v>1199</v>
          </cell>
          <cell r="Y7">
            <v>3416</v>
          </cell>
          <cell r="Z7">
            <v>6</v>
          </cell>
          <cell r="AA7">
            <v>1799</v>
          </cell>
          <cell r="AB7">
            <v>3667</v>
          </cell>
          <cell r="AC7">
            <v>3</v>
          </cell>
          <cell r="AD7">
            <v>1786</v>
          </cell>
          <cell r="AE7">
            <v>12</v>
          </cell>
          <cell r="AF7">
            <v>138</v>
          </cell>
          <cell r="AG7">
            <v>660</v>
          </cell>
          <cell r="AH7">
            <v>504</v>
          </cell>
          <cell r="AI7">
            <v>2829</v>
          </cell>
          <cell r="AJ7">
            <v>1522</v>
          </cell>
          <cell r="AK7">
            <v>30</v>
          </cell>
          <cell r="AL7">
            <v>1825</v>
          </cell>
          <cell r="AM7">
            <v>105</v>
          </cell>
          <cell r="AN7">
            <v>3327</v>
          </cell>
          <cell r="AO7">
            <v>33515</v>
          </cell>
          <cell r="AP7">
            <v>36</v>
          </cell>
          <cell r="AQ7">
            <v>53</v>
          </cell>
          <cell r="AR7">
            <v>33216</v>
          </cell>
          <cell r="AS7">
            <v>33211</v>
          </cell>
          <cell r="AT7">
            <v>564</v>
          </cell>
          <cell r="AU7">
            <v>84</v>
          </cell>
          <cell r="AV7">
            <v>2203</v>
          </cell>
          <cell r="AW7">
            <v>53</v>
          </cell>
          <cell r="AX7">
            <v>110</v>
          </cell>
          <cell r="AY7">
            <v>550</v>
          </cell>
          <cell r="AZ7">
            <v>2269</v>
          </cell>
          <cell r="BA7">
            <v>4807</v>
          </cell>
          <cell r="BB7">
            <v>1042</v>
          </cell>
          <cell r="BC7">
            <v>12</v>
          </cell>
          <cell r="BD7">
            <v>5586</v>
          </cell>
          <cell r="BE7">
            <v>2772</v>
          </cell>
          <cell r="BF7">
            <v>1154</v>
          </cell>
          <cell r="BG7">
            <v>788</v>
          </cell>
          <cell r="BH7">
            <v>382</v>
          </cell>
          <cell r="BI7">
            <v>5198</v>
          </cell>
          <cell r="BJ7">
            <v>2784</v>
          </cell>
        </row>
      </sheetData>
      <sheetData sheetId="4" refreshError="1">
        <row r="7">
          <cell r="H7">
            <v>280</v>
          </cell>
          <cell r="I7">
            <v>17</v>
          </cell>
          <cell r="J7">
            <v>1058</v>
          </cell>
          <cell r="K7">
            <v>3701</v>
          </cell>
          <cell r="L7">
            <v>50</v>
          </cell>
          <cell r="M7">
            <v>4991</v>
          </cell>
          <cell r="N7">
            <v>756</v>
          </cell>
        </row>
      </sheetData>
      <sheetData sheetId="5" refreshError="1"/>
      <sheetData sheetId="6" refreshError="1"/>
      <sheetData sheetId="7" refreshError="1"/>
      <sheetData sheetId="8" refreshError="1">
        <row r="3">
          <cell r="H3" t="str">
            <v>K004</v>
          </cell>
          <cell r="I3" t="str">
            <v>S002</v>
          </cell>
          <cell r="J3" t="str">
            <v>S005</v>
          </cell>
          <cell r="K3" t="str">
            <v>S008</v>
          </cell>
          <cell r="L3" t="str">
            <v>S009</v>
          </cell>
        </row>
        <row r="7">
          <cell r="H7">
            <v>1.1991672</v>
          </cell>
          <cell r="I7">
            <v>11.1201162</v>
          </cell>
          <cell r="J7">
            <v>3.3981079999999997</v>
          </cell>
          <cell r="K7">
            <v>6.6151799999999997E-2</v>
          </cell>
          <cell r="L7">
            <v>33.115099399999998</v>
          </cell>
        </row>
      </sheetData>
      <sheetData sheetId="9" refreshError="1"/>
      <sheetData sheetId="10" refreshError="1">
        <row r="3">
          <cell r="H3" t="str">
            <v>K002</v>
          </cell>
          <cell r="I3" t="str">
            <v>K003</v>
          </cell>
          <cell r="J3" t="str">
            <v>L001</v>
          </cell>
          <cell r="K3" t="str">
            <v>L004</v>
          </cell>
          <cell r="L3" t="str">
            <v>L005</v>
          </cell>
          <cell r="M3" t="str">
            <v>L007</v>
          </cell>
          <cell r="N3" t="str">
            <v>L008</v>
          </cell>
          <cell r="O3" t="str">
            <v>L011</v>
          </cell>
        </row>
        <row r="7">
          <cell r="H7">
            <v>13.459999999999999</v>
          </cell>
          <cell r="I7">
            <v>6.66</v>
          </cell>
          <cell r="J7">
            <v>20.29</v>
          </cell>
          <cell r="K7">
            <v>5.7</v>
          </cell>
          <cell r="L7">
            <v>0.71</v>
          </cell>
          <cell r="M7">
            <v>22.39</v>
          </cell>
          <cell r="N7">
            <v>0.3</v>
          </cell>
          <cell r="O7">
            <v>10.89</v>
          </cell>
        </row>
      </sheetData>
      <sheetData sheetId="11" refreshError="1"/>
      <sheetData sheetId="12" refreshError="1">
        <row r="3">
          <cell r="H3" t="str">
            <v>K002</v>
          </cell>
          <cell r="I3" t="str">
            <v>K003</v>
          </cell>
          <cell r="J3" t="str">
            <v>RC020</v>
          </cell>
          <cell r="K3" t="str">
            <v>RC021</v>
          </cell>
        </row>
        <row r="7">
          <cell r="H7">
            <v>11697</v>
          </cell>
          <cell r="I7">
            <v>12636</v>
          </cell>
          <cell r="J7">
            <v>0</v>
          </cell>
          <cell r="K7">
            <v>0</v>
          </cell>
        </row>
      </sheetData>
      <sheetData sheetId="13"/>
    </sheetDataSet>
  </externalBook>
</externalLink>
</file>

<file path=xl/theme/theme1.xml><?xml version="1.0" encoding="utf-8"?>
<a:theme xmlns:a="http://schemas.openxmlformats.org/drawingml/2006/main" name="Office 主题​​">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pattFill prst="lgCheck">
          <a:fgClr>
            <a:schemeClr val="accent1"/>
          </a:fgClr>
          <a:bgClr>
            <a:schemeClr val="bg1"/>
          </a:bgClr>
        </a:pattFill>
        <a:ln w="9525">
          <a:solidFill>
            <a:srgbClr xmlns:mc="http://schemas.openxmlformats.org/markup-compatibility/2006" xmlns:a14="http://schemas.microsoft.com/office/drawing/2010/main" val="000000" mc:Ignorable="a14" a14:legacySpreadsheetColorIndex="64"/>
          </a:solidFill>
          <a:round/>
          <a:headEnd type="stealth" w="med" len="med"/>
          <a:tailEnd type="stealth" w="med" len="med"/>
        </a:ln>
        <a:extLst/>
      </a:spPr>
      <a:bodyPr vertOverflow="clip" horzOverflow="clip" rtlCol="0" anchor="t"/>
      <a:lstStyle>
        <a:defPPr algn="l">
          <a:defRPr sz="1100"/>
        </a:defPPr>
      </a:lstStyle>
    </a:sp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www.catlinfo.com:83/Docs/_layouts/15/WopiFrame.aspx?sourcedoc=/Docs/QTQSI/QTQSI-108-1.0.docx&amp;action=default" TargetMode="External"/></Relationships>
</file>

<file path=xl/worksheets/_rels/sheet10.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printerSettings" Target="../printerSettings/printerSettings9.bin"/></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6.vml"/><Relationship Id="rId2" Type="http://schemas.openxmlformats.org/officeDocument/2006/relationships/drawing" Target="../drawings/drawing6.xml"/><Relationship Id="rId1" Type="http://schemas.openxmlformats.org/officeDocument/2006/relationships/printerSettings" Target="../printerSettings/printerSettings10.bin"/><Relationship Id="rId4" Type="http://schemas.openxmlformats.org/officeDocument/2006/relationships/comments" Target="../comments6.xml"/></Relationships>
</file>

<file path=xl/worksheets/_rels/sheet12.xml.rels><?xml version="1.0" encoding="UTF-8" standalone="yes"?>
<Relationships xmlns="http://schemas.openxmlformats.org/package/2006/relationships"><Relationship Id="rId8" Type="http://schemas.openxmlformats.org/officeDocument/2006/relationships/comments" Target="../comments7.xml"/><Relationship Id="rId3" Type="http://schemas.openxmlformats.org/officeDocument/2006/relationships/printerSettings" Target="../printerSettings/printerSettings11.bin"/><Relationship Id="rId7" Type="http://schemas.openxmlformats.org/officeDocument/2006/relationships/image" Target="../media/image8.emf"/><Relationship Id="rId2" Type="http://schemas.openxmlformats.org/officeDocument/2006/relationships/hyperlink" Target="../../../lizhongh.CATLBATTERY/AppData/Roaming/Microsoft/&#25104;&#26524;&#36755;&#20986;/PTO%20production%20data%202016/&#38452;&#26497;COV&#21644;CPK.xlsx" TargetMode="External"/><Relationship Id="rId1" Type="http://schemas.openxmlformats.org/officeDocument/2006/relationships/hyperlink" Target="../../../lizhongh.CATLBATTERY/AppData/Roaming/Microsoft/&#25104;&#26524;&#36755;&#20986;/PTO%20production%20data%202016/&#38452;&#26497;COV&#21644;CPK.xlsx" TargetMode="External"/><Relationship Id="rId6" Type="http://schemas.openxmlformats.org/officeDocument/2006/relationships/package" Target="../embeddings/Microsoft_Excel_Worksheet1.xlsx"/><Relationship Id="rId5" Type="http://schemas.openxmlformats.org/officeDocument/2006/relationships/vmlDrawing" Target="../drawings/vmlDrawing7.vml"/><Relationship Id="rId4" Type="http://schemas.openxmlformats.org/officeDocument/2006/relationships/drawing" Target="../drawings/drawing7.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1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3.bin"/></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4.bin"/><Relationship Id="rId4" Type="http://schemas.openxmlformats.org/officeDocument/2006/relationships/comments" Target="../comments1.xml"/></Relationships>
</file>

<file path=xl/worksheets/_rels/sheet6.xml.rels><?xml version="1.0" encoding="UTF-8" standalone="yes"?>
<Relationships xmlns="http://schemas.openxmlformats.org/package/2006/relationships"><Relationship Id="rId3" Type="http://schemas.openxmlformats.org/officeDocument/2006/relationships/hyperlink" Target="file:///\\catl-file\MFG-Prototype\Package%20Data%20Base\2.&#36807;&#31243;&#30417;&#25511;&#25968;&#25454;" TargetMode="External"/><Relationship Id="rId2" Type="http://schemas.openxmlformats.org/officeDocument/2006/relationships/hyperlink" Target="http://www.catlinfo.com:83/sites/ProjectDoc/TMeeting/Material%20Shelf/Forms/AllItems.aspx" TargetMode="External"/><Relationship Id="rId1" Type="http://schemas.openxmlformats.org/officeDocument/2006/relationships/hyperlink" Target="http://www.catlinfo.com:83/sites/ProjectDoc/TMeeting/Material%20Shelf/Forms/AllItems.aspx" TargetMode="External"/><Relationship Id="rId5" Type="http://schemas.openxmlformats.org/officeDocument/2006/relationships/printerSettings" Target="../printerSettings/printerSettings5.bin"/><Relationship Id="rId4" Type="http://schemas.openxmlformats.org/officeDocument/2006/relationships/hyperlink" Target="http://www.catlinfo.com:83/sites/ProjectDoc/TMeeting/Material%20Shelf/Forms/AllItems.aspx" TargetMode="External"/></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4.xml"/><Relationship Id="rId1" Type="http://schemas.openxmlformats.org/officeDocument/2006/relationships/printerSettings" Target="../printerSettings/printerSettings6.bin"/><Relationship Id="rId4" Type="http://schemas.openxmlformats.org/officeDocument/2006/relationships/comments" Target="../comments2.xml"/></Relationships>
</file>

<file path=xl/worksheets/_rels/sheet8.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5.xml"/><Relationship Id="rId1" Type="http://schemas.openxmlformats.org/officeDocument/2006/relationships/printerSettings" Target="../printerSettings/printerSettings7.bin"/><Relationship Id="rId4" Type="http://schemas.openxmlformats.org/officeDocument/2006/relationships/comments" Target="../comments3.xml"/></Relationships>
</file>

<file path=xl/worksheets/_rels/sheet9.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61"/>
  <sheetViews>
    <sheetView topLeftCell="A19" workbookViewId="0">
      <selection activeCell="C21" sqref="C21"/>
    </sheetView>
  </sheetViews>
  <sheetFormatPr defaultColWidth="9" defaultRowHeight="15"/>
  <cols>
    <col min="1" max="1" width="3" style="1" customWidth="1" collapsed="1"/>
    <col min="2" max="2" width="4.625" style="10" customWidth="1" collapsed="1"/>
    <col min="3" max="3" width="132.25" style="1" customWidth="1" collapsed="1"/>
    <col min="4" max="16384" width="9" style="1" collapsed="1"/>
  </cols>
  <sheetData>
    <row r="2" spans="2:5" ht="21" thickBot="1">
      <c r="B2" s="52" t="s">
        <v>265</v>
      </c>
      <c r="C2" s="38"/>
      <c r="D2" s="38"/>
      <c r="E2" s="38"/>
    </row>
    <row r="3" spans="2:5" ht="17.25" customHeight="1" thickTop="1">
      <c r="B3" s="53"/>
      <c r="C3" s="1048"/>
      <c r="D3" s="13"/>
      <c r="E3" s="13"/>
    </row>
    <row r="4" spans="2:5" ht="17.25" customHeight="1">
      <c r="B4" s="53"/>
      <c r="C4" s="1049"/>
      <c r="D4" s="13"/>
      <c r="E4" s="13"/>
    </row>
    <row r="5" spans="2:5" ht="17.25" customHeight="1">
      <c r="B5" s="53"/>
      <c r="C5" s="1049"/>
      <c r="D5" s="13"/>
      <c r="E5" s="13"/>
    </row>
    <row r="6" spans="2:5" ht="17.25" customHeight="1">
      <c r="B6" s="53"/>
      <c r="C6" s="1049"/>
      <c r="D6" s="13"/>
      <c r="E6" s="13"/>
    </row>
    <row r="7" spans="2:5" ht="17.25" customHeight="1">
      <c r="B7" s="53"/>
      <c r="C7" s="1049"/>
      <c r="D7" s="13"/>
      <c r="E7" s="13"/>
    </row>
    <row r="8" spans="2:5" ht="17.25" customHeight="1">
      <c r="B8" s="53"/>
      <c r="C8" s="1049"/>
      <c r="D8" s="13"/>
      <c r="E8" s="13"/>
    </row>
    <row r="9" spans="2:5" ht="17.25" customHeight="1">
      <c r="B9" s="53"/>
      <c r="C9" s="1049"/>
      <c r="D9" s="13"/>
      <c r="E9" s="13"/>
    </row>
    <row r="10" spans="2:5" ht="20.25">
      <c r="B10" s="53"/>
      <c r="C10" s="1049"/>
      <c r="D10" s="13"/>
      <c r="E10" s="13"/>
    </row>
    <row r="11" spans="2:5">
      <c r="B11" s="1"/>
      <c r="C11" s="1049"/>
    </row>
    <row r="12" spans="2:5">
      <c r="B12" s="1"/>
      <c r="C12" s="1049"/>
    </row>
    <row r="13" spans="2:5" ht="15.75">
      <c r="B13" s="45" t="s">
        <v>250</v>
      </c>
    </row>
    <row r="14" spans="2:5" ht="45" customHeight="1">
      <c r="B14" s="42">
        <v>1.1000000000000001</v>
      </c>
      <c r="C14" s="49" t="s">
        <v>670</v>
      </c>
    </row>
    <row r="16" spans="2:5" ht="15.75">
      <c r="B16" s="45" t="s">
        <v>249</v>
      </c>
    </row>
    <row r="17" spans="2:3" ht="17.25" customHeight="1">
      <c r="B17" s="1046">
        <v>2.1</v>
      </c>
      <c r="C17" s="48" t="s">
        <v>671</v>
      </c>
    </row>
    <row r="18" spans="2:3" ht="18.75" customHeight="1">
      <c r="B18" s="1047"/>
      <c r="C18" s="47" t="s">
        <v>248</v>
      </c>
    </row>
    <row r="19" spans="2:3" ht="32.25" customHeight="1">
      <c r="B19" s="42">
        <v>2.2000000000000002</v>
      </c>
      <c r="C19" s="41" t="s">
        <v>918</v>
      </c>
    </row>
    <row r="20" spans="2:3">
      <c r="B20" s="42">
        <v>2.2999999999999998</v>
      </c>
      <c r="C20" s="41" t="s">
        <v>917</v>
      </c>
    </row>
    <row r="21" spans="2:3" ht="30">
      <c r="B21" s="42">
        <v>2.4</v>
      </c>
      <c r="C21" s="41" t="s">
        <v>672</v>
      </c>
    </row>
    <row r="22" spans="2:3">
      <c r="B22" s="42">
        <v>2.5</v>
      </c>
      <c r="C22" s="994" t="s">
        <v>907</v>
      </c>
    </row>
    <row r="23" spans="2:3" ht="18" customHeight="1">
      <c r="B23" s="42">
        <v>2.6</v>
      </c>
      <c r="C23" s="41" t="s">
        <v>673</v>
      </c>
    </row>
    <row r="24" spans="2:3">
      <c r="B24" s="42">
        <v>2.7</v>
      </c>
      <c r="C24" s="41" t="s">
        <v>674</v>
      </c>
    </row>
    <row r="25" spans="2:3">
      <c r="B25" s="42">
        <v>2.8</v>
      </c>
      <c r="C25" s="41" t="s">
        <v>675</v>
      </c>
    </row>
    <row r="26" spans="2:3" ht="30">
      <c r="B26" s="42">
        <v>2.9</v>
      </c>
      <c r="C26" s="41" t="s">
        <v>676</v>
      </c>
    </row>
    <row r="27" spans="2:3">
      <c r="B27" s="46">
        <v>2.1</v>
      </c>
      <c r="C27" s="41" t="s">
        <v>677</v>
      </c>
    </row>
    <row r="28" spans="2:3">
      <c r="B28" s="42">
        <v>2.11</v>
      </c>
      <c r="C28" s="41" t="s">
        <v>678</v>
      </c>
    </row>
    <row r="29" spans="2:3" ht="30">
      <c r="B29" s="46">
        <v>2.12</v>
      </c>
      <c r="C29" s="41" t="s">
        <v>679</v>
      </c>
    </row>
    <row r="30" spans="2:3" ht="30">
      <c r="B30" s="42">
        <v>2.13</v>
      </c>
      <c r="C30" s="41" t="s">
        <v>680</v>
      </c>
    </row>
    <row r="31" spans="2:3" ht="60">
      <c r="B31" s="46">
        <v>2.14</v>
      </c>
      <c r="C31" s="41" t="s">
        <v>681</v>
      </c>
    </row>
    <row r="32" spans="2:3" ht="30">
      <c r="B32" s="42">
        <v>2.15</v>
      </c>
      <c r="C32" s="41" t="s">
        <v>919</v>
      </c>
    </row>
    <row r="33" spans="2:3">
      <c r="B33" s="46">
        <v>2.16</v>
      </c>
      <c r="C33" s="41" t="s">
        <v>920</v>
      </c>
    </row>
    <row r="34" spans="2:3">
      <c r="B34" s="42">
        <v>2.17</v>
      </c>
      <c r="C34" s="41" t="s">
        <v>682</v>
      </c>
    </row>
    <row r="35" spans="2:3">
      <c r="B35" s="46">
        <v>2.1800000000000002</v>
      </c>
      <c r="C35" s="41" t="s">
        <v>683</v>
      </c>
    </row>
    <row r="36" spans="2:3" ht="30">
      <c r="B36" s="42">
        <v>2.19</v>
      </c>
      <c r="C36" s="41" t="s">
        <v>684</v>
      </c>
    </row>
    <row r="37" spans="2:3" ht="30">
      <c r="B37" s="46">
        <v>2.2000000000000002</v>
      </c>
      <c r="C37" s="41" t="s">
        <v>685</v>
      </c>
    </row>
    <row r="38" spans="2:3">
      <c r="B38" s="42">
        <v>2.21</v>
      </c>
      <c r="C38" s="41" t="s">
        <v>686</v>
      </c>
    </row>
    <row r="39" spans="2:3">
      <c r="B39" s="46">
        <v>2.2200000000000002</v>
      </c>
      <c r="C39" s="41" t="s">
        <v>687</v>
      </c>
    </row>
    <row r="40" spans="2:3" ht="30">
      <c r="B40" s="42">
        <v>2.23</v>
      </c>
      <c r="C40" s="41" t="s">
        <v>688</v>
      </c>
    </row>
    <row r="41" spans="2:3" ht="30">
      <c r="B41" s="46">
        <v>2.2400000000000002</v>
      </c>
      <c r="C41" s="41" t="s">
        <v>689</v>
      </c>
    </row>
    <row r="42" spans="2:3" ht="30">
      <c r="B42" s="42">
        <v>2.25</v>
      </c>
      <c r="C42" s="41" t="s">
        <v>690</v>
      </c>
    </row>
    <row r="43" spans="2:3">
      <c r="B43" s="46">
        <v>2.2599999999999998</v>
      </c>
      <c r="C43" s="41" t="s">
        <v>691</v>
      </c>
    </row>
    <row r="44" spans="2:3">
      <c r="B44" s="42">
        <v>2.27</v>
      </c>
      <c r="C44" s="41" t="s">
        <v>692</v>
      </c>
    </row>
    <row r="45" spans="2:3">
      <c r="B45" s="46">
        <v>2.2799999999999998</v>
      </c>
      <c r="C45" s="41" t="s">
        <v>921</v>
      </c>
    </row>
    <row r="46" spans="2:3">
      <c r="C46" s="43"/>
    </row>
    <row r="47" spans="2:3" ht="15.75">
      <c r="B47" s="45" t="s">
        <v>693</v>
      </c>
      <c r="C47" s="43"/>
    </row>
    <row r="48" spans="2:3">
      <c r="B48" s="42">
        <v>3.1</v>
      </c>
      <c r="C48" s="810" t="s">
        <v>825</v>
      </c>
    </row>
    <row r="49" spans="2:3" ht="30">
      <c r="B49" s="42">
        <v>3.2</v>
      </c>
      <c r="C49" s="41" t="s">
        <v>817</v>
      </c>
    </row>
    <row r="50" spans="2:3">
      <c r="B50" s="42">
        <v>3.3</v>
      </c>
      <c r="C50" s="69" t="s">
        <v>293</v>
      </c>
    </row>
    <row r="51" spans="2:3">
      <c r="B51" s="1046">
        <v>3.4</v>
      </c>
      <c r="C51" s="70" t="s">
        <v>694</v>
      </c>
    </row>
    <row r="52" spans="2:3">
      <c r="B52" s="1047"/>
      <c r="C52" s="71" t="s">
        <v>695</v>
      </c>
    </row>
    <row r="53" spans="2:3" ht="14.25" customHeight="1">
      <c r="B53" s="42">
        <v>3.5</v>
      </c>
      <c r="C53" s="41" t="s">
        <v>696</v>
      </c>
    </row>
    <row r="54" spans="2:3">
      <c r="C54" s="43"/>
    </row>
    <row r="55" spans="2:3" ht="21">
      <c r="B55" s="44" t="s">
        <v>697</v>
      </c>
      <c r="C55" s="43"/>
    </row>
    <row r="56" spans="2:3">
      <c r="B56" s="42">
        <v>4.0999999999999996</v>
      </c>
      <c r="C56" s="41" t="s">
        <v>698</v>
      </c>
    </row>
    <row r="57" spans="2:3" ht="30">
      <c r="B57" s="42">
        <v>4.2</v>
      </c>
      <c r="C57" s="41" t="s">
        <v>699</v>
      </c>
    </row>
    <row r="58" spans="2:3" ht="30">
      <c r="B58" s="42">
        <v>4.3</v>
      </c>
      <c r="C58" s="41" t="s">
        <v>700</v>
      </c>
    </row>
    <row r="59" spans="2:3" ht="21" customHeight="1">
      <c r="B59" s="42">
        <v>4.4000000000000004</v>
      </c>
      <c r="C59" s="800" t="s">
        <v>701</v>
      </c>
    </row>
    <row r="60" spans="2:3" ht="30">
      <c r="B60" s="42">
        <v>4.5</v>
      </c>
      <c r="C60" s="41" t="s">
        <v>702</v>
      </c>
    </row>
    <row r="61" spans="2:3" s="801" customFormat="1" ht="18.75" customHeight="1">
      <c r="B61" s="42">
        <v>4.5999999999999996</v>
      </c>
      <c r="C61" s="800" t="s">
        <v>703</v>
      </c>
    </row>
  </sheetData>
  <sheetProtection algorithmName="SHA-512" hashValue="grzzQBoxlhlgvQ/9O+fAvbM9Rp+t3Jbu3UUW7QbSTjwcdqs3LNF01tBVo3Ptn29G3Y3V7itVf7jsZ4L/oAm+uA==" saltValue="8T+LyhXux250ngWaRHhtjQ==" spinCount="100000" sheet="1" objects="1" scenarios="1"/>
  <mergeCells count="3">
    <mergeCell ref="B17:B18"/>
    <mergeCell ref="C3:C12"/>
    <mergeCell ref="B51:B52"/>
  </mergeCells>
  <phoneticPr fontId="6" type="noConversion"/>
  <hyperlinks>
    <hyperlink ref="C18" r:id="rId1"/>
  </hyperlinks>
  <pageMargins left="0.7" right="0.7" top="0.75" bottom="0.75" header="0.3" footer="0.3"/>
  <pageSetup paperSize="9" orientation="portrait" r:id="rId2"/>
  <drawing r:id="rId3"/>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L100"/>
  <sheetViews>
    <sheetView showGridLines="0" topLeftCell="A34" zoomScaleNormal="100" workbookViewId="0">
      <selection activeCell="G44" sqref="G44"/>
    </sheetView>
  </sheetViews>
  <sheetFormatPr defaultColWidth="9" defaultRowHeight="15.75"/>
  <cols>
    <col min="1" max="1" width="3.375" style="169" customWidth="1" collapsed="1"/>
    <col min="2" max="2" width="16.25" style="169" customWidth="1" collapsed="1"/>
    <col min="3" max="3" width="17.875" style="169" customWidth="1" collapsed="1"/>
    <col min="4" max="4" width="12" style="169" customWidth="1" collapsed="1"/>
    <col min="5" max="5" width="11.875" style="169" customWidth="1" collapsed="1"/>
    <col min="6" max="6" width="12.125" style="169" customWidth="1" collapsed="1"/>
    <col min="7" max="7" width="19.375" style="169" customWidth="1" collapsed="1"/>
    <col min="8" max="8" width="12.5" style="169" customWidth="1" collapsed="1"/>
    <col min="9" max="9" width="13.875" style="169" customWidth="1" collapsed="1"/>
    <col min="10" max="16384" width="9" style="169" collapsed="1"/>
  </cols>
  <sheetData>
    <row r="1" spans="2:12">
      <c r="K1" s="578"/>
    </row>
    <row r="2" spans="2:12" ht="18.75" thickBot="1">
      <c r="B2" s="170" t="s">
        <v>796</v>
      </c>
      <c r="C2" s="171"/>
      <c r="D2" s="171"/>
      <c r="E2" s="171"/>
      <c r="F2" s="171"/>
      <c r="G2" s="171"/>
      <c r="H2" s="171"/>
      <c r="I2" s="171"/>
      <c r="J2" s="681" t="s">
        <v>73</v>
      </c>
      <c r="K2" s="171"/>
      <c r="L2" s="171"/>
    </row>
    <row r="3" spans="2:12" ht="16.5" thickTop="1">
      <c r="D3" s="173"/>
      <c r="K3" s="446" t="s">
        <v>441</v>
      </c>
    </row>
    <row r="4" spans="2:12" ht="31.5">
      <c r="B4" s="1255"/>
      <c r="C4" s="1256"/>
      <c r="D4" s="504" t="s">
        <v>725</v>
      </c>
      <c r="E4" s="503" t="s">
        <v>57</v>
      </c>
      <c r="F4" s="503" t="s">
        <v>562</v>
      </c>
      <c r="G4" s="311" t="s">
        <v>780</v>
      </c>
    </row>
    <row r="5" spans="2:12">
      <c r="B5" s="1253" t="s">
        <v>257</v>
      </c>
      <c r="C5" s="1254"/>
      <c r="D5" s="175"/>
      <c r="E5" s="175"/>
      <c r="F5" s="862" t="e">
        <f>F7-F30</f>
        <v>#N/A</v>
      </c>
      <c r="G5" s="766"/>
    </row>
    <row r="6" spans="2:12">
      <c r="B6" s="1253" t="s">
        <v>258</v>
      </c>
      <c r="C6" s="1254"/>
      <c r="D6" s="176"/>
      <c r="E6" s="176"/>
      <c r="F6" s="863" t="e">
        <f>F5-F29*0.03</f>
        <v>#N/A</v>
      </c>
      <c r="G6" s="767"/>
    </row>
    <row r="7" spans="2:12">
      <c r="B7" s="1252" t="s">
        <v>866</v>
      </c>
      <c r="C7" s="1252"/>
      <c r="D7" s="174"/>
      <c r="E7" s="174"/>
      <c r="F7" s="864" t="e">
        <f>设计主界面!C11*设计主界面!D11*设计主界面!E11/1000</f>
        <v>#N/A</v>
      </c>
      <c r="G7" s="766"/>
    </row>
    <row r="8" spans="2:12">
      <c r="B8" s="1251" t="s">
        <v>779</v>
      </c>
      <c r="C8" s="1252"/>
      <c r="D8" s="712"/>
      <c r="E8" s="712"/>
      <c r="F8" s="864" t="e">
        <f>INDEX(机械件数据库!$E$48:$DQ$48,1,HLOOKUP(设计主界面!$B$11,机械件数据库!$E$5:$DQ$49,45,FALSE)+2)/1000</f>
        <v>#N/A</v>
      </c>
      <c r="G8" s="766"/>
    </row>
    <row r="9" spans="2:12">
      <c r="B9" s="1240" t="s">
        <v>9</v>
      </c>
      <c r="C9" s="745" t="s">
        <v>134</v>
      </c>
      <c r="D9" s="865" t="e">
        <f>VLOOKUP(设计主界面!C20,材料数据库!D25:Q37,13,FALSE)</f>
        <v>#N/A</v>
      </c>
      <c r="E9" s="866" t="e">
        <f>BOM!N6</f>
        <v>#N/A</v>
      </c>
      <c r="F9" s="864" t="e">
        <f t="shared" ref="F9:F28" si="0">E9/D9*1000</f>
        <v>#N/A</v>
      </c>
      <c r="G9" s="766"/>
    </row>
    <row r="10" spans="2:12">
      <c r="B10" s="1241"/>
      <c r="C10" s="745" t="s">
        <v>135</v>
      </c>
      <c r="D10" s="408">
        <v>2.7</v>
      </c>
      <c r="E10" s="866" t="e">
        <f>BOM!N12</f>
        <v>#N/A</v>
      </c>
      <c r="F10" s="864" t="e">
        <f t="shared" si="0"/>
        <v>#N/A</v>
      </c>
      <c r="G10" s="766"/>
    </row>
    <row r="11" spans="2:12">
      <c r="B11" s="1241"/>
      <c r="C11" s="745" t="s">
        <v>136</v>
      </c>
      <c r="D11" s="408">
        <v>2.7</v>
      </c>
      <c r="E11" s="866" t="e">
        <f>BOM!N13</f>
        <v>#N/A</v>
      </c>
      <c r="F11" s="865" t="e">
        <f>E11/D11*1000</f>
        <v>#N/A</v>
      </c>
      <c r="G11" s="766"/>
      <c r="H11" s="173"/>
    </row>
    <row r="12" spans="2:12">
      <c r="B12" s="1241"/>
      <c r="C12" s="745" t="s">
        <v>137</v>
      </c>
      <c r="D12" s="865" t="e">
        <f>VLOOKUP(BOM!D7,材料数据库!D114:E123,2,FALSE)</f>
        <v>#N/A</v>
      </c>
      <c r="E12" s="866" t="e">
        <f>BOM!N7</f>
        <v>#N/A</v>
      </c>
      <c r="F12" s="865" t="e">
        <f>E12/D12*1000</f>
        <v>#N/A</v>
      </c>
      <c r="G12" s="766"/>
    </row>
    <row r="13" spans="2:12">
      <c r="B13" s="1241"/>
      <c r="C13" s="745" t="s">
        <v>138</v>
      </c>
      <c r="D13" s="865">
        <f>材料数据库!E140</f>
        <v>0</v>
      </c>
      <c r="E13" s="866" t="e">
        <f>BOM!N9</f>
        <v>#N/A</v>
      </c>
      <c r="F13" s="865" t="e">
        <f t="shared" si="0"/>
        <v>#N/A</v>
      </c>
      <c r="G13" s="766"/>
    </row>
    <row r="14" spans="2:12">
      <c r="B14" s="1241"/>
      <c r="C14" s="745" t="s">
        <v>329</v>
      </c>
      <c r="D14" s="865">
        <f>材料数据库!E141</f>
        <v>0</v>
      </c>
      <c r="E14" s="866" t="e">
        <f>BOM!N10</f>
        <v>#N/A</v>
      </c>
      <c r="F14" s="865" t="e">
        <f t="shared" si="0"/>
        <v>#N/A</v>
      </c>
      <c r="G14" s="767"/>
    </row>
    <row r="15" spans="2:12">
      <c r="B15" s="1241"/>
      <c r="C15" s="745" t="s">
        <v>328</v>
      </c>
      <c r="D15" s="579"/>
      <c r="E15" s="580"/>
      <c r="F15" s="579"/>
      <c r="G15" s="766" t="s">
        <v>887</v>
      </c>
    </row>
    <row r="16" spans="2:12">
      <c r="B16" s="1241"/>
      <c r="C16" s="745" t="s">
        <v>139</v>
      </c>
      <c r="D16" s="865" t="e">
        <f>VLOOKUP(BOM!D8,材料数据库!D182:E186,2,FALSE)</f>
        <v>#N/A</v>
      </c>
      <c r="E16" s="866" t="e">
        <f>BOM!N8</f>
        <v>#N/A</v>
      </c>
      <c r="F16" s="865" t="e">
        <f t="shared" si="0"/>
        <v>#N/A</v>
      </c>
      <c r="G16" s="766"/>
    </row>
    <row r="17" spans="2:12">
      <c r="B17" s="1242"/>
      <c r="C17" s="753" t="s">
        <v>509</v>
      </c>
      <c r="D17" s="865">
        <f>材料数据库!E140</f>
        <v>0</v>
      </c>
      <c r="E17" s="866" t="e">
        <f>BOM!N14</f>
        <v>#N/A</v>
      </c>
      <c r="F17" s="865" t="e">
        <f t="shared" si="0"/>
        <v>#N/A</v>
      </c>
      <c r="G17" s="766" t="s">
        <v>888</v>
      </c>
    </row>
    <row r="18" spans="2:12">
      <c r="B18" s="1250" t="s">
        <v>8</v>
      </c>
      <c r="C18" s="745" t="s">
        <v>134</v>
      </c>
      <c r="D18" s="865" t="e">
        <f>VLOOKUP(设计主界面!C19,材料数据库!D6:Q18,13,FALSE)</f>
        <v>#N/A</v>
      </c>
      <c r="E18" s="866" t="e">
        <f>BOM!N16</f>
        <v>#N/A</v>
      </c>
      <c r="F18" s="864" t="e">
        <f t="shared" si="0"/>
        <v>#N/A</v>
      </c>
      <c r="G18" s="766"/>
    </row>
    <row r="19" spans="2:12">
      <c r="B19" s="1250"/>
      <c r="C19" s="745" t="s">
        <v>65</v>
      </c>
      <c r="D19" s="408">
        <v>8.9</v>
      </c>
      <c r="E19" s="866" t="e">
        <f>BOM!N23</f>
        <v>#N/A</v>
      </c>
      <c r="F19" s="864" t="e">
        <f t="shared" si="0"/>
        <v>#N/A</v>
      </c>
      <c r="G19" s="766"/>
    </row>
    <row r="20" spans="2:12">
      <c r="B20" s="1250"/>
      <c r="C20" s="745" t="s">
        <v>140</v>
      </c>
      <c r="D20" s="408">
        <v>8.9</v>
      </c>
      <c r="E20" s="866" t="e">
        <f>BOM!N24</f>
        <v>#N/A</v>
      </c>
      <c r="F20" s="864" t="e">
        <f t="shared" si="0"/>
        <v>#N/A</v>
      </c>
      <c r="G20" s="766"/>
    </row>
    <row r="21" spans="2:12">
      <c r="B21" s="1250"/>
      <c r="C21" s="745" t="s">
        <v>330</v>
      </c>
      <c r="D21" s="865">
        <f>材料数据库!E127</f>
        <v>0</v>
      </c>
      <c r="E21" s="866" t="e">
        <f>BOM!N18</f>
        <v>#N/A</v>
      </c>
      <c r="F21" s="864" t="e">
        <f t="shared" si="0"/>
        <v>#N/A</v>
      </c>
      <c r="G21" s="767"/>
    </row>
    <row r="22" spans="2:12">
      <c r="B22" s="1250"/>
      <c r="C22" s="745" t="s">
        <v>331</v>
      </c>
      <c r="D22" s="865">
        <f>材料数据库!E128</f>
        <v>0</v>
      </c>
      <c r="E22" s="866" t="e">
        <f>BOM!N19</f>
        <v>#N/A</v>
      </c>
      <c r="F22" s="864" t="e">
        <f t="shared" si="0"/>
        <v>#N/A</v>
      </c>
      <c r="G22" s="767"/>
    </row>
    <row r="23" spans="2:12">
      <c r="B23" s="1250"/>
      <c r="C23" s="745" t="s">
        <v>141</v>
      </c>
      <c r="D23" s="865" t="e">
        <f>VLOOKUP(BOM!D17,材料数据库!D153:E162,2,FALSE)</f>
        <v>#N/A</v>
      </c>
      <c r="E23" s="866" t="e">
        <f>BOM!N17</f>
        <v>#N/A</v>
      </c>
      <c r="F23" s="864" t="e">
        <f t="shared" si="0"/>
        <v>#N/A</v>
      </c>
      <c r="G23" s="766"/>
    </row>
    <row r="24" spans="2:12">
      <c r="B24" s="1250"/>
      <c r="C24" s="745" t="s">
        <v>332</v>
      </c>
      <c r="D24" s="865">
        <f>材料数据库!E140</f>
        <v>0</v>
      </c>
      <c r="E24" s="866" t="e">
        <f>BOM!N20</f>
        <v>#N/A</v>
      </c>
      <c r="F24" s="864" t="e">
        <f>E24/D24*1000</f>
        <v>#N/A</v>
      </c>
      <c r="G24" s="766"/>
    </row>
    <row r="25" spans="2:12">
      <c r="B25" s="1250"/>
      <c r="C25" s="745" t="s">
        <v>333</v>
      </c>
      <c r="D25" s="865">
        <f>材料数据库!E141</f>
        <v>0</v>
      </c>
      <c r="E25" s="866" t="e">
        <f>BOM!N21</f>
        <v>#N/A</v>
      </c>
      <c r="F25" s="864" t="e">
        <f>E25/D25*1000</f>
        <v>#N/A</v>
      </c>
      <c r="G25" s="767"/>
    </row>
    <row r="26" spans="2:12">
      <c r="B26" s="1250" t="s">
        <v>60</v>
      </c>
      <c r="C26" s="867">
        <f>设计主界面!C24</f>
        <v>0</v>
      </c>
      <c r="D26" s="865" t="e">
        <f>VLOOKUP(C26,材料数据库!$C$45:$K$67,8,FALSE)</f>
        <v>#N/A</v>
      </c>
      <c r="E26" s="866" t="e">
        <f>BOM!N26</f>
        <v>#N/A</v>
      </c>
      <c r="F26" s="865" t="e">
        <f t="shared" si="0"/>
        <v>#N/A</v>
      </c>
      <c r="G26" s="766"/>
    </row>
    <row r="27" spans="2:12">
      <c r="B27" s="1250"/>
      <c r="C27" s="867" t="str">
        <f>设计主界面!C25</f>
        <v>CCS(勃姆石)</v>
      </c>
      <c r="D27" s="865">
        <f>IF(C27="CCS(勃姆石)",3.076,3.9)</f>
        <v>3.0760000000000001</v>
      </c>
      <c r="E27" s="866" t="e">
        <f>BOM!N27</f>
        <v>#N/A</v>
      </c>
      <c r="F27" s="865" t="e">
        <f t="shared" si="0"/>
        <v>#N/A</v>
      </c>
      <c r="G27" s="766" t="s">
        <v>789</v>
      </c>
    </row>
    <row r="28" spans="2:12">
      <c r="B28" s="1250"/>
      <c r="C28" s="745" t="s">
        <v>142</v>
      </c>
      <c r="D28" s="865">
        <f>材料数据库!E174</f>
        <v>0</v>
      </c>
      <c r="E28" s="866" t="e">
        <f>BOM!N28</f>
        <v>#N/A</v>
      </c>
      <c r="F28" s="865" t="e">
        <f t="shared" si="0"/>
        <v>#N/A</v>
      </c>
      <c r="G28" s="766" t="s">
        <v>820</v>
      </c>
    </row>
    <row r="29" spans="2:12">
      <c r="B29" s="177" t="s">
        <v>58</v>
      </c>
      <c r="C29" s="867">
        <f>设计主界面!I34</f>
        <v>0</v>
      </c>
      <c r="D29" s="865" t="e">
        <f>VLOOKUP(C29,材料数据库!C74:E88,3,FALSE)</f>
        <v>#N/A</v>
      </c>
      <c r="E29" s="866">
        <f>BOM!N25</f>
        <v>0</v>
      </c>
      <c r="F29" s="864" t="e">
        <f>E29/D29*1000</f>
        <v>#N/A</v>
      </c>
      <c r="G29" s="766"/>
    </row>
    <row r="30" spans="2:12">
      <c r="B30" s="177" t="s">
        <v>299</v>
      </c>
      <c r="C30" s="174"/>
      <c r="D30" s="175"/>
      <c r="E30" s="175"/>
      <c r="F30" s="864" t="e">
        <f>SUM(F8:F29)</f>
        <v>#N/A</v>
      </c>
      <c r="G30" s="766"/>
    </row>
    <row r="32" spans="2:12" ht="18.75" thickBot="1">
      <c r="B32" s="170" t="s">
        <v>896</v>
      </c>
      <c r="C32" s="171"/>
      <c r="D32" s="171"/>
      <c r="E32" s="171"/>
      <c r="F32" s="171"/>
      <c r="G32" s="171"/>
      <c r="H32" s="171"/>
      <c r="I32" s="171"/>
      <c r="J32" s="172"/>
      <c r="K32" s="171"/>
      <c r="L32" s="171"/>
    </row>
    <row r="33" spans="2:8" ht="16.5" thickTop="1"/>
    <row r="34" spans="2:8" ht="31.5">
      <c r="B34" s="496"/>
      <c r="C34" s="503" t="s">
        <v>726</v>
      </c>
      <c r="D34" s="503" t="s">
        <v>727</v>
      </c>
      <c r="E34" s="504" t="s">
        <v>822</v>
      </c>
      <c r="F34" s="504" t="s">
        <v>561</v>
      </c>
      <c r="G34" s="504" t="s">
        <v>563</v>
      </c>
      <c r="H34" s="504" t="s">
        <v>564</v>
      </c>
    </row>
    <row r="35" spans="2:8">
      <c r="B35" s="505" t="s">
        <v>566</v>
      </c>
      <c r="C35" s="868" t="e">
        <f>(设计主界面!K40-设计主界面!D20/(1+设计主界面!O20))/2</f>
        <v>#N/A</v>
      </c>
      <c r="D35" s="869" t="e">
        <f>设计主界面!D40</f>
        <v>#N/A</v>
      </c>
      <c r="E35" s="869" t="e">
        <f>设计主界面!E40+设计主界面!F40</f>
        <v>#N/A</v>
      </c>
      <c r="F35" s="869" t="e">
        <f>C35*D35*E35*设计主界面!L15/1000</f>
        <v>#N/A</v>
      </c>
      <c r="G35" s="869" t="e">
        <f>F9+SUM(F12:F17)</f>
        <v>#N/A</v>
      </c>
      <c r="H35" s="869" t="e">
        <f>F35-G35</f>
        <v>#N/A</v>
      </c>
    </row>
    <row r="36" spans="2:8">
      <c r="B36" s="505" t="s">
        <v>565</v>
      </c>
      <c r="C36" s="868" t="e">
        <f>(设计主界面!K39-设计主界面!D19/(1+设计主界面!O19))/2</f>
        <v>#N/A</v>
      </c>
      <c r="D36" s="869" t="e">
        <f>设计主界面!D39</f>
        <v>#N/A</v>
      </c>
      <c r="E36" s="869" t="e">
        <f>设计主界面!E39+设计主界面!F39</f>
        <v>#N/A</v>
      </c>
      <c r="F36" s="869" t="e">
        <f>C36*D36*E36*设计主界面!L15/1000</f>
        <v>#N/A</v>
      </c>
      <c r="G36" s="869" t="e">
        <f>F18+SUM(F21:F25)</f>
        <v>#N/A</v>
      </c>
      <c r="H36" s="869" t="e">
        <f>F36-G36</f>
        <v>#N/A</v>
      </c>
    </row>
    <row r="37" spans="2:8">
      <c r="B37" s="505" t="s">
        <v>567</v>
      </c>
      <c r="C37" s="868" t="e">
        <f>设计主界面!D24</f>
        <v>#N/A</v>
      </c>
      <c r="D37" s="869" t="e">
        <f>设计主界面!D41</f>
        <v>#N/A</v>
      </c>
      <c r="E37" s="869" t="e">
        <f>设计主界面!E41</f>
        <v>#N/A</v>
      </c>
      <c r="F37" s="869" t="e">
        <f>C37*D37*E37*设计主界面!L15/1000</f>
        <v>#N/A</v>
      </c>
      <c r="G37" s="869" t="e">
        <f>F26</f>
        <v>#N/A</v>
      </c>
      <c r="H37" s="869" t="e">
        <f>F37-G37</f>
        <v>#N/A</v>
      </c>
    </row>
    <row r="38" spans="2:8">
      <c r="B38" s="505" t="s">
        <v>568</v>
      </c>
      <c r="C38" s="1040">
        <f>设计主界面!D25</f>
        <v>0</v>
      </c>
      <c r="D38" s="869" t="e">
        <f>设计主界面!D41</f>
        <v>#N/A</v>
      </c>
      <c r="E38" s="869" t="e">
        <f>设计主界面!E41</f>
        <v>#N/A</v>
      </c>
      <c r="F38" s="869" t="e">
        <f>C38*D38*E38*设计主界面!L15/1000</f>
        <v>#N/A</v>
      </c>
      <c r="G38" s="869" t="e">
        <f>F27</f>
        <v>#N/A</v>
      </c>
      <c r="H38" s="869" t="e">
        <f>F38-G38</f>
        <v>#N/A</v>
      </c>
    </row>
    <row r="39" spans="2:8">
      <c r="B39" s="505" t="s">
        <v>821</v>
      </c>
      <c r="C39" s="1041">
        <f>设计主界面!D26</f>
        <v>0</v>
      </c>
      <c r="D39" s="869" t="e">
        <f>设计主界面!D41</f>
        <v>#N/A</v>
      </c>
      <c r="E39" s="869" t="e">
        <f>设计主界面!C34*1.5*2+设计主界面!C35/2*IF(设计主界面!Q20="间歇",设计主界面!D15+1,设计主界面!D15+3)*2</f>
        <v>#N/A</v>
      </c>
      <c r="F39" s="869" t="e">
        <f>C39*D39*E39*设计主界面!L15/1000</f>
        <v>#N/A</v>
      </c>
      <c r="G39" s="1248" t="e">
        <f>F28</f>
        <v>#N/A</v>
      </c>
      <c r="H39" s="1243" t="e">
        <f>F39+F40-G39</f>
        <v>#N/A</v>
      </c>
    </row>
    <row r="40" spans="2:8">
      <c r="B40" s="505" t="s">
        <v>569</v>
      </c>
      <c r="C40" s="870">
        <f>IF(设计主界面!O15="是",设计主界面!D26,设计主界面!D27)</f>
        <v>0</v>
      </c>
      <c r="D40" s="869" t="e">
        <f>设计主界面!D41</f>
        <v>#N/A</v>
      </c>
      <c r="E40" s="869" t="e">
        <f>设计主界面!E41-E39</f>
        <v>#N/A</v>
      </c>
      <c r="F40" s="869" t="e">
        <f>C40*D40*E40*设计主界面!L15/1000</f>
        <v>#N/A</v>
      </c>
      <c r="G40" s="1249"/>
      <c r="H40" s="1244"/>
    </row>
    <row r="41" spans="2:8">
      <c r="B41" s="1245" t="s">
        <v>570</v>
      </c>
      <c r="C41" s="1246"/>
      <c r="D41" s="1246"/>
      <c r="E41" s="1246"/>
      <c r="F41" s="1246"/>
      <c r="G41" s="1247"/>
      <c r="H41" s="871" t="e">
        <f>SUM(H35:H40)</f>
        <v>#N/A</v>
      </c>
    </row>
    <row r="63" spans="2:3">
      <c r="B63" s="178"/>
      <c r="C63" s="178"/>
    </row>
    <row r="64" spans="2:3">
      <c r="B64" s="178"/>
      <c r="C64" s="178"/>
    </row>
    <row r="65" spans="2:3">
      <c r="B65" s="178"/>
      <c r="C65" s="178"/>
    </row>
    <row r="66" spans="2:3">
      <c r="B66" s="178"/>
      <c r="C66" s="178"/>
    </row>
    <row r="67" spans="2:3">
      <c r="B67" s="178"/>
      <c r="C67" s="178"/>
    </row>
    <row r="68" spans="2:3">
      <c r="B68" s="178"/>
      <c r="C68" s="178"/>
    </row>
    <row r="69" spans="2:3">
      <c r="B69" s="178"/>
      <c r="C69" s="178"/>
    </row>
    <row r="70" spans="2:3">
      <c r="B70" s="178"/>
      <c r="C70" s="178"/>
    </row>
    <row r="71" spans="2:3">
      <c r="B71" s="178"/>
      <c r="C71" s="178"/>
    </row>
    <row r="72" spans="2:3">
      <c r="B72" s="178"/>
      <c r="C72" s="178"/>
    </row>
    <row r="73" spans="2:3">
      <c r="B73" s="178"/>
      <c r="C73" s="178"/>
    </row>
    <row r="74" spans="2:3">
      <c r="B74" s="178"/>
      <c r="C74" s="178"/>
    </row>
    <row r="75" spans="2:3">
      <c r="B75" s="178"/>
      <c r="C75" s="178"/>
    </row>
    <row r="76" spans="2:3">
      <c r="B76" s="178"/>
      <c r="C76" s="178"/>
    </row>
    <row r="77" spans="2:3">
      <c r="B77" s="178"/>
      <c r="C77" s="178"/>
    </row>
    <row r="78" spans="2:3">
      <c r="B78" s="178"/>
      <c r="C78" s="178"/>
    </row>
    <row r="79" spans="2:3">
      <c r="B79" s="178"/>
      <c r="C79" s="178"/>
    </row>
    <row r="80" spans="2:3">
      <c r="B80" s="178"/>
      <c r="C80" s="178"/>
    </row>
    <row r="81" spans="2:3">
      <c r="B81" s="178"/>
      <c r="C81" s="178"/>
    </row>
    <row r="82" spans="2:3">
      <c r="B82" s="178"/>
      <c r="C82" s="178"/>
    </row>
    <row r="83" spans="2:3">
      <c r="B83" s="178"/>
      <c r="C83" s="178"/>
    </row>
    <row r="84" spans="2:3">
      <c r="B84" s="178"/>
      <c r="C84" s="178"/>
    </row>
    <row r="85" spans="2:3">
      <c r="B85" s="178"/>
      <c r="C85" s="178"/>
    </row>
    <row r="86" spans="2:3">
      <c r="B86" s="178"/>
      <c r="C86" s="178"/>
    </row>
    <row r="87" spans="2:3">
      <c r="B87" s="178"/>
      <c r="C87" s="178"/>
    </row>
    <row r="88" spans="2:3">
      <c r="B88" s="178"/>
      <c r="C88" s="178"/>
    </row>
    <row r="89" spans="2:3">
      <c r="B89" s="178"/>
      <c r="C89" s="178"/>
    </row>
    <row r="90" spans="2:3">
      <c r="B90" s="178"/>
      <c r="C90" s="178"/>
    </row>
    <row r="91" spans="2:3">
      <c r="B91" s="178"/>
      <c r="C91" s="178"/>
    </row>
    <row r="92" spans="2:3">
      <c r="B92" s="178"/>
      <c r="C92" s="178"/>
    </row>
    <row r="93" spans="2:3">
      <c r="B93" s="178"/>
      <c r="C93" s="178"/>
    </row>
    <row r="94" spans="2:3">
      <c r="B94" s="178"/>
      <c r="C94" s="178"/>
    </row>
    <row r="95" spans="2:3">
      <c r="B95" s="178"/>
      <c r="C95" s="178"/>
    </row>
    <row r="96" spans="2:3">
      <c r="B96" s="178"/>
      <c r="C96" s="178"/>
    </row>
    <row r="97" spans="2:3">
      <c r="B97" s="178"/>
      <c r="C97" s="178"/>
    </row>
    <row r="98" spans="2:3">
      <c r="B98" s="178"/>
      <c r="C98" s="178"/>
    </row>
    <row r="99" spans="2:3">
      <c r="B99" s="178"/>
      <c r="C99" s="178"/>
    </row>
    <row r="100" spans="2:3">
      <c r="B100" s="178"/>
      <c r="C100" s="178"/>
    </row>
  </sheetData>
  <sheetProtection algorithmName="SHA-512" hashValue="JPBGPKueqRKaSKGkPyZbhOTCrkqmZpFVmDm2PzLSjseaemg/UaBAGQ/dr0NdLj44PXGpGosTh0eKD6ehm/Rp9g==" saltValue="xHcNm/eXvjMPKnpA+gLh+w==" spinCount="100000" sheet="1" objects="1" scenarios="1" formatCells="0" formatColumns="0" formatRows="0" insertColumns="0" insertRows="0" insertHyperlinks="0" deleteColumns="0" deleteRows="0" sort="0" autoFilter="0" pivotTables="0"/>
  <mergeCells count="11">
    <mergeCell ref="B8:C8"/>
    <mergeCell ref="B5:C5"/>
    <mergeCell ref="B6:C6"/>
    <mergeCell ref="B4:C4"/>
    <mergeCell ref="B7:C7"/>
    <mergeCell ref="B9:B17"/>
    <mergeCell ref="H39:H40"/>
    <mergeCell ref="B41:G41"/>
    <mergeCell ref="G39:G40"/>
    <mergeCell ref="B26:B28"/>
    <mergeCell ref="B18:B25"/>
  </mergeCells>
  <phoneticPr fontId="5" type="noConversion"/>
  <hyperlinks>
    <hyperlink ref="K3" location="设计主界面!A1" display="返回"/>
  </hyperlinks>
  <pageMargins left="0.7" right="0.7" top="0.75" bottom="0.75" header="0.3" footer="0.3"/>
  <pageSetup paperSize="9" orientation="portrait"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O101"/>
  <sheetViews>
    <sheetView topLeftCell="A34" zoomScaleNormal="100" workbookViewId="0">
      <selection activeCell="I78" sqref="I78"/>
    </sheetView>
  </sheetViews>
  <sheetFormatPr defaultColWidth="9" defaultRowHeight="15"/>
  <cols>
    <col min="1" max="1" width="3.125" style="216" customWidth="1" collapsed="1"/>
    <col min="2" max="2" width="16.875" style="216" customWidth="1" collapsed="1"/>
    <col min="3" max="3" width="16.375" style="216" customWidth="1" collapsed="1"/>
    <col min="4" max="4" width="12.875" style="216" customWidth="1" collapsed="1"/>
    <col min="5" max="5" width="11.625" style="216" customWidth="1" collapsed="1"/>
    <col min="6" max="6" width="12.125" style="216" customWidth="1" collapsed="1"/>
    <col min="7" max="7" width="13.875" style="216" customWidth="1" collapsed="1"/>
    <col min="8" max="8" width="11.375" style="216" customWidth="1" collapsed="1"/>
    <col min="9" max="9" width="11.125" style="216" customWidth="1" collapsed="1"/>
    <col min="10" max="10" width="9.875" style="216" customWidth="1" collapsed="1"/>
    <col min="11" max="11" width="9" style="216" collapsed="1"/>
    <col min="12" max="13" width="9.875" style="216" customWidth="1" collapsed="1"/>
    <col min="14" max="14" width="11" style="216" customWidth="1" collapsed="1"/>
    <col min="15" max="15" width="11.5" style="216" customWidth="1" collapsed="1"/>
    <col min="16" max="16384" width="9" style="216" collapsed="1"/>
  </cols>
  <sheetData>
    <row r="2" spans="2:15">
      <c r="K2" s="547" t="s">
        <v>73</v>
      </c>
      <c r="L2" s="506"/>
    </row>
    <row r="3" spans="2:15" ht="21" thickBot="1">
      <c r="B3" s="701" t="s">
        <v>611</v>
      </c>
      <c r="C3" s="224"/>
      <c r="D3" s="224"/>
      <c r="E3" s="224"/>
      <c r="F3" s="224"/>
      <c r="G3" s="224"/>
      <c r="H3" s="224"/>
      <c r="I3" s="454" t="s">
        <v>441</v>
      </c>
      <c r="J3" s="224"/>
      <c r="K3" s="314" t="s">
        <v>334</v>
      </c>
      <c r="L3" s="224"/>
      <c r="M3" s="224"/>
      <c r="N3" s="224"/>
      <c r="O3" s="224"/>
    </row>
    <row r="4" spans="2:15" ht="15.75" thickTop="1">
      <c r="B4" s="225"/>
      <c r="C4" s="226"/>
      <c r="D4" s="226"/>
      <c r="E4" s="226"/>
      <c r="F4" s="226"/>
      <c r="G4" s="226"/>
      <c r="H4" s="226"/>
      <c r="I4" s="226"/>
      <c r="J4" s="226"/>
      <c r="K4" s="226"/>
      <c r="L4" s="226"/>
      <c r="M4" s="226"/>
      <c r="N4" s="226"/>
      <c r="O4" s="226"/>
    </row>
    <row r="5" spans="2:15" ht="6.75" customHeight="1">
      <c r="B5" s="225"/>
      <c r="C5" s="228"/>
      <c r="D5" s="227"/>
      <c r="E5" s="226"/>
      <c r="F5" s="228"/>
      <c r="G5" s="227"/>
      <c r="I5" s="225"/>
      <c r="J5" s="226"/>
      <c r="K5" s="226"/>
      <c r="L5" s="226"/>
      <c r="M5" s="226"/>
      <c r="N5" s="226"/>
      <c r="O5" s="226"/>
    </row>
    <row r="6" spans="2:15" ht="13.5" customHeight="1">
      <c r="B6" s="230"/>
      <c r="C6" s="226"/>
      <c r="D6" s="226"/>
      <c r="E6" s="845" t="e">
        <f>B50</f>
        <v>#N/A</v>
      </c>
      <c r="F6" s="227"/>
      <c r="G6" s="226"/>
      <c r="H6" s="692"/>
      <c r="I6" s="226"/>
      <c r="J6" s="226"/>
      <c r="K6" s="226"/>
      <c r="L6" s="226"/>
      <c r="M6" s="226"/>
      <c r="N6" s="226"/>
      <c r="O6" s="226"/>
    </row>
    <row r="7" spans="2:15" ht="15.75" customHeight="1">
      <c r="B7" s="230"/>
      <c r="C7" s="226"/>
      <c r="D7" s="226"/>
      <c r="E7" s="227"/>
      <c r="F7" s="227"/>
      <c r="G7" s="226"/>
      <c r="H7" s="846" t="e">
        <f>D50</f>
        <v>#N/A</v>
      </c>
      <c r="I7" s="231"/>
      <c r="J7" s="221"/>
      <c r="K7" s="221"/>
      <c r="L7" s="221"/>
    </row>
    <row r="8" spans="2:15" ht="15.75" customHeight="1">
      <c r="B8" s="230"/>
      <c r="C8" s="226"/>
      <c r="D8" s="226"/>
      <c r="E8" s="227"/>
      <c r="F8" s="227"/>
      <c r="G8" s="226"/>
      <c r="H8" s="686"/>
      <c r="I8" s="226"/>
      <c r="J8" s="221"/>
      <c r="K8" s="221"/>
    </row>
    <row r="9" spans="2:15" ht="13.5" customHeight="1">
      <c r="B9" s="230"/>
      <c r="C9" s="226"/>
      <c r="D9" s="226"/>
      <c r="E9" s="227" t="e">
        <f>BOM!N6</f>
        <v>#N/A</v>
      </c>
      <c r="F9" s="227"/>
      <c r="G9" s="226"/>
      <c r="H9" s="226"/>
      <c r="I9" s="226"/>
    </row>
    <row r="10" spans="2:15" ht="12.75" customHeight="1">
      <c r="B10" s="230"/>
      <c r="C10" s="802" t="s">
        <v>604</v>
      </c>
      <c r="D10" s="847" t="e">
        <f>E50</f>
        <v>#N/A</v>
      </c>
      <c r="E10" s="804"/>
      <c r="F10" s="227"/>
      <c r="G10" s="802" t="s">
        <v>603</v>
      </c>
      <c r="H10" s="847" t="e">
        <f>F50</f>
        <v>#N/A</v>
      </c>
      <c r="I10" s="226"/>
    </row>
    <row r="11" spans="2:15" ht="15" customHeight="1">
      <c r="B11" s="230"/>
      <c r="C11" s="226"/>
      <c r="D11" s="226"/>
      <c r="E11" s="805"/>
      <c r="F11" s="227"/>
      <c r="G11" s="226"/>
      <c r="H11" s="226"/>
      <c r="I11" s="226"/>
    </row>
    <row r="12" spans="2:15" ht="16.5" customHeight="1">
      <c r="B12" s="230"/>
      <c r="D12" s="803"/>
      <c r="E12" s="234"/>
      <c r="F12" s="227"/>
      <c r="G12" s="802"/>
      <c r="H12" s="803"/>
      <c r="I12" s="226"/>
    </row>
    <row r="13" spans="2:15" ht="16.5" customHeight="1">
      <c r="B13" s="230"/>
      <c r="C13" s="692"/>
      <c r="D13" s="689"/>
      <c r="E13" s="234"/>
      <c r="F13" s="227"/>
      <c r="G13" s="693"/>
      <c r="H13" s="689"/>
      <c r="I13" s="226"/>
    </row>
    <row r="14" spans="2:15">
      <c r="H14" s="807"/>
      <c r="I14" s="229"/>
    </row>
    <row r="15" spans="2:15">
      <c r="B15" s="770"/>
    </row>
    <row r="16" spans="2:15">
      <c r="E16" s="1261" t="s">
        <v>791</v>
      </c>
      <c r="F16" s="1261"/>
      <c r="H16" s="704"/>
      <c r="K16" s="848">
        <f>D62</f>
        <v>0</v>
      </c>
    </row>
    <row r="17" spans="2:15">
      <c r="C17" s="806" t="s">
        <v>619</v>
      </c>
    </row>
    <row r="18" spans="2:15">
      <c r="L18" s="229"/>
      <c r="N18" s="685"/>
      <c r="O18" s="229"/>
    </row>
    <row r="19" spans="2:15">
      <c r="B19" s="768"/>
      <c r="C19" s="220" t="s">
        <v>72</v>
      </c>
    </row>
    <row r="20" spans="2:15">
      <c r="O20" s="683"/>
    </row>
    <row r="21" spans="2:15">
      <c r="C21" s="769"/>
      <c r="J21" s="229"/>
      <c r="L21" s="229"/>
    </row>
    <row r="22" spans="2:15">
      <c r="K22" s="848">
        <f>E62</f>
        <v>0</v>
      </c>
    </row>
    <row r="23" spans="2:15">
      <c r="B23" s="226"/>
      <c r="C23" s="226"/>
      <c r="D23" s="226"/>
      <c r="E23" s="686"/>
      <c r="F23" s="226"/>
      <c r="G23" s="226"/>
    </row>
    <row r="24" spans="2:15">
      <c r="C24" s="226"/>
      <c r="D24" s="226"/>
      <c r="E24" s="226"/>
      <c r="F24" s="226"/>
      <c r="G24" s="226"/>
    </row>
    <row r="25" spans="2:15">
      <c r="C25" s="226"/>
      <c r="D25" s="226"/>
      <c r="E25" s="226"/>
      <c r="F25" s="808" t="s">
        <v>818</v>
      </c>
      <c r="G25" s="226"/>
    </row>
    <row r="26" spans="2:15">
      <c r="C26" s="806" t="s">
        <v>794</v>
      </c>
      <c r="D26" s="226"/>
      <c r="E26" s="226"/>
      <c r="F26" s="226"/>
      <c r="G26" s="226"/>
    </row>
    <row r="27" spans="2:15">
      <c r="C27" s="226"/>
      <c r="D27" s="226"/>
      <c r="E27" s="226"/>
      <c r="F27" s="226"/>
      <c r="G27" s="226"/>
    </row>
    <row r="28" spans="2:15">
      <c r="C28" s="226"/>
      <c r="D28" s="226"/>
      <c r="E28" s="226"/>
      <c r="F28" s="226"/>
      <c r="G28" s="226"/>
      <c r="M28" s="849">
        <f>E54</f>
        <v>0</v>
      </c>
    </row>
    <row r="29" spans="2:15">
      <c r="C29" s="226"/>
      <c r="D29" s="226"/>
      <c r="E29" s="226"/>
      <c r="F29" s="226"/>
      <c r="G29" s="226"/>
    </row>
    <row r="30" spans="2:15">
      <c r="C30" s="226"/>
      <c r="D30" s="226"/>
      <c r="E30" s="226"/>
      <c r="F30" s="226"/>
      <c r="G30" s="226"/>
      <c r="K30" s="848">
        <f>F54</f>
        <v>0</v>
      </c>
    </row>
    <row r="31" spans="2:15">
      <c r="B31" s="225"/>
      <c r="C31" s="226"/>
      <c r="D31" s="226"/>
      <c r="E31" s="226"/>
      <c r="F31" s="772" t="s">
        <v>795</v>
      </c>
      <c r="G31" s="226"/>
    </row>
    <row r="32" spans="2:15">
      <c r="B32" s="225"/>
      <c r="C32" s="226"/>
      <c r="D32" s="226"/>
      <c r="E32" s="226"/>
      <c r="F32" s="226"/>
      <c r="G32" s="226"/>
    </row>
    <row r="33" spans="2:14">
      <c r="B33" s="225"/>
      <c r="C33" s="226"/>
      <c r="D33" s="226"/>
      <c r="E33" s="226"/>
      <c r="F33" s="226"/>
      <c r="G33" s="226"/>
    </row>
    <row r="34" spans="2:14" ht="16.5" customHeight="1">
      <c r="B34" s="230"/>
      <c r="C34" s="692"/>
      <c r="D34" s="689"/>
      <c r="E34" s="234"/>
      <c r="F34" s="227"/>
      <c r="G34" s="693"/>
      <c r="H34" s="689"/>
      <c r="I34" s="226"/>
    </row>
    <row r="35" spans="2:14" ht="26.25" customHeight="1">
      <c r="B35" s="230"/>
      <c r="C35" s="815" t="s">
        <v>839</v>
      </c>
      <c r="D35" s="227"/>
      <c r="E35" s="234"/>
      <c r="F35" s="227"/>
      <c r="G35" s="231"/>
      <c r="H35" s="226"/>
      <c r="I35" s="226"/>
    </row>
    <row r="36" spans="2:14">
      <c r="B36" s="225"/>
      <c r="C36" s="227"/>
      <c r="D36" s="232"/>
      <c r="E36" s="827" t="s">
        <v>847</v>
      </c>
      <c r="F36" s="233"/>
      <c r="G36" s="235"/>
      <c r="H36" s="226"/>
      <c r="I36" s="226"/>
    </row>
    <row r="37" spans="2:14">
      <c r="E37" s="811"/>
    </row>
    <row r="39" spans="2:14">
      <c r="B39" s="850" t="e">
        <f>C62</f>
        <v>#N/A</v>
      </c>
      <c r="C39" s="684"/>
      <c r="D39" s="685"/>
      <c r="F39" s="691"/>
      <c r="G39" s="683"/>
    </row>
    <row r="40" spans="2:14">
      <c r="E40" s="229"/>
      <c r="J40" s="221"/>
      <c r="K40" s="221"/>
      <c r="L40" s="221"/>
    </row>
    <row r="41" spans="2:14" ht="18" customHeight="1">
      <c r="B41" s="229"/>
      <c r="D41" s="702"/>
      <c r="E41" s="229"/>
      <c r="J41" s="221"/>
      <c r="K41" s="221"/>
    </row>
    <row r="42" spans="2:14">
      <c r="D42" s="809"/>
      <c r="M42" s="698"/>
    </row>
    <row r="43" spans="2:14">
      <c r="E43" s="229"/>
    </row>
    <row r="45" spans="2:14">
      <c r="E45" s="704">
        <f>B62</f>
        <v>0</v>
      </c>
      <c r="J45" s="700"/>
    </row>
    <row r="46" spans="2:14">
      <c r="E46" s="236"/>
      <c r="N46" s="699"/>
    </row>
    <row r="47" spans="2:14">
      <c r="I47" s="229"/>
    </row>
    <row r="48" spans="2:14">
      <c r="B48" s="225" t="s">
        <v>598</v>
      </c>
      <c r="C48" s="226"/>
      <c r="D48" s="226"/>
      <c r="E48" s="226"/>
      <c r="F48" s="226"/>
      <c r="G48" s="226"/>
    </row>
    <row r="49" spans="2:11">
      <c r="B49" s="687" t="s">
        <v>617</v>
      </c>
      <c r="C49" s="687" t="s">
        <v>841</v>
      </c>
      <c r="D49" s="687" t="s">
        <v>612</v>
      </c>
      <c r="E49" s="687" t="s">
        <v>613</v>
      </c>
      <c r="F49" s="687" t="s">
        <v>614</v>
      </c>
      <c r="G49" s="694" t="s">
        <v>615</v>
      </c>
      <c r="H49" s="694" t="s">
        <v>616</v>
      </c>
      <c r="I49" s="694" t="s">
        <v>618</v>
      </c>
      <c r="J49" s="687" t="s">
        <v>846</v>
      </c>
      <c r="K49" s="687" t="s">
        <v>849</v>
      </c>
    </row>
    <row r="50" spans="2:11">
      <c r="B50" s="851" t="e">
        <f>HLOOKUP(设计主界面!$B$11,机械件数据库!$E$5:'机械件数据库'!$DQ$48,19,FALSE)</f>
        <v>#N/A</v>
      </c>
      <c r="C50" s="851" t="e">
        <f>HLOOKUP(设计主界面!$B$11,机械件数据库!$E$5:'机械件数据库'!$DQ$48,16,FALSE)</f>
        <v>#N/A</v>
      </c>
      <c r="D50" s="851" t="e">
        <f>HLOOKUP(设计主界面!$B$11,机械件数据库!$E$5:'机械件数据库'!$DQ$48,17,FALSE)</f>
        <v>#N/A</v>
      </c>
      <c r="E50" s="851" t="e">
        <f>HLOOKUP(设计主界面!$B$11,机械件数据库!$E$5:'机械件数据库'!$DQ$48,20,FALSE)</f>
        <v>#N/A</v>
      </c>
      <c r="F50" s="851" t="e">
        <f>HLOOKUP(设计主界面!$B$11,机械件数据库!$E$5:'机械件数据库'!$DQ$48,21,FALSE)</f>
        <v>#N/A</v>
      </c>
      <c r="G50" s="851" t="e">
        <f>HLOOKUP(设计主界面!$B$11,机械件数据库!$E$5:'机械件数据库'!$DQ$48,22,FALSE)</f>
        <v>#N/A</v>
      </c>
      <c r="H50" s="851" t="e">
        <f>HLOOKUP(设计主界面!$B$11,机械件数据库!$E$5:'机械件数据库'!$DQ$48,23,FALSE)</f>
        <v>#N/A</v>
      </c>
      <c r="I50" s="851" t="e">
        <f>HLOOKUP(设计主界面!$B$11,机械件数据库!$E$5:'机械件数据库'!$DQ$48,24,FALSE)</f>
        <v>#N/A</v>
      </c>
      <c r="J50" s="851" t="e">
        <f>B50-2*IF(E50&lt;=F50,E50,F50)</f>
        <v>#N/A</v>
      </c>
      <c r="K50" s="851" t="e">
        <f>HLOOKUP(设计主界面!$B$11,机械件数据库!$E$5:'机械件数据库'!$DQ$48,25,FALSE)</f>
        <v>#N/A</v>
      </c>
    </row>
    <row r="51" spans="2:11" ht="6.75" customHeight="1">
      <c r="B51" s="226"/>
      <c r="C51" s="226"/>
      <c r="D51" s="226"/>
      <c r="E51" s="226"/>
      <c r="F51" s="226"/>
    </row>
    <row r="52" spans="2:11">
      <c r="B52" s="225" t="s">
        <v>827</v>
      </c>
      <c r="C52" s="226"/>
      <c r="D52" s="226"/>
      <c r="E52" s="226"/>
      <c r="F52" s="226"/>
    </row>
    <row r="53" spans="2:11">
      <c r="B53" s="703" t="s">
        <v>605</v>
      </c>
      <c r="C53" s="688" t="s">
        <v>828</v>
      </c>
      <c r="D53" s="687" t="s">
        <v>74</v>
      </c>
      <c r="E53" s="695" t="s">
        <v>606</v>
      </c>
      <c r="F53" s="687" t="s">
        <v>607</v>
      </c>
    </row>
    <row r="54" spans="2:11">
      <c r="B54" s="408"/>
      <c r="C54" s="408"/>
      <c r="D54" s="408"/>
      <c r="E54" s="412"/>
      <c r="F54" s="412"/>
    </row>
    <row r="55" spans="2:11" ht="7.5" customHeight="1"/>
    <row r="56" spans="2:11" ht="15" customHeight="1">
      <c r="B56" s="225" t="s">
        <v>831</v>
      </c>
    </row>
    <row r="57" spans="2:11" ht="22.5" customHeight="1">
      <c r="B57" s="688" t="s">
        <v>610</v>
      </c>
      <c r="C57" s="687" t="s">
        <v>829</v>
      </c>
      <c r="D57" s="687" t="s">
        <v>830</v>
      </c>
    </row>
    <row r="58" spans="2:11" ht="15" customHeight="1">
      <c r="B58" s="408"/>
      <c r="C58" s="817" t="s">
        <v>843</v>
      </c>
      <c r="D58" s="816" t="s">
        <v>842</v>
      </c>
    </row>
    <row r="59" spans="2:11" ht="7.5" customHeight="1"/>
    <row r="60" spans="2:11">
      <c r="B60" s="690" t="s">
        <v>599</v>
      </c>
    </row>
    <row r="61" spans="2:11">
      <c r="B61" s="687" t="s">
        <v>852</v>
      </c>
      <c r="C61" s="694" t="s">
        <v>601</v>
      </c>
      <c r="D61" s="695" t="s">
        <v>608</v>
      </c>
      <c r="E61" s="695" t="s">
        <v>609</v>
      </c>
      <c r="F61" s="695" t="s">
        <v>160</v>
      </c>
    </row>
    <row r="62" spans="2:11">
      <c r="B62" s="581">
        <f>设计主界面!E15-设计主界面!F34</f>
        <v>0</v>
      </c>
      <c r="C62" s="682" t="e">
        <f>D50/2-B54</f>
        <v>#N/A</v>
      </c>
      <c r="D62" s="851">
        <f>设计主界面!E34</f>
        <v>0</v>
      </c>
      <c r="E62" s="851">
        <f>设计主界面!F34</f>
        <v>0</v>
      </c>
      <c r="F62" s="851">
        <f>设计主界面!G34</f>
        <v>0</v>
      </c>
    </row>
    <row r="63" spans="2:11" ht="10.5" customHeight="1"/>
    <row r="64" spans="2:11" ht="15" customHeight="1"/>
    <row r="65" spans="2:10" ht="17.25" customHeight="1">
      <c r="B65" s="813"/>
      <c r="C65" s="688" t="s">
        <v>857</v>
      </c>
      <c r="D65" s="688" t="s">
        <v>854</v>
      </c>
      <c r="E65" s="688" t="s">
        <v>855</v>
      </c>
      <c r="F65" s="688" t="s">
        <v>856</v>
      </c>
    </row>
    <row r="66" spans="2:10" ht="15" customHeight="1">
      <c r="B66" s="824" t="s">
        <v>853</v>
      </c>
      <c r="C66" s="851">
        <f>B62</f>
        <v>0</v>
      </c>
      <c r="D66" s="851">
        <f>B62-2*(C54+D54)</f>
        <v>0</v>
      </c>
      <c r="E66" s="851">
        <f>B62+2*E62</f>
        <v>0</v>
      </c>
      <c r="F66" s="851">
        <f>B62+2*E62+2*(C54+D54)</f>
        <v>0</v>
      </c>
    </row>
    <row r="67" spans="2:10" ht="15" customHeight="1">
      <c r="B67" s="812" t="s">
        <v>832</v>
      </c>
      <c r="C67" s="851" t="e">
        <f>B50+2*C62-2*H50</f>
        <v>#N/A</v>
      </c>
      <c r="D67" s="851" t="e">
        <f>B50+2*C62-2*H50</f>
        <v>#N/A</v>
      </c>
      <c r="E67" s="851" t="e">
        <f>B50+2*C62-2*I50</f>
        <v>#N/A</v>
      </c>
      <c r="F67" s="851" t="e">
        <f>B50+2*C62-2*I50</f>
        <v>#N/A</v>
      </c>
    </row>
    <row r="68" spans="2:10" ht="15" customHeight="1">
      <c r="B68" s="812" t="s">
        <v>833</v>
      </c>
      <c r="C68" s="851" t="e">
        <f>(C67-C66)/2</f>
        <v>#N/A</v>
      </c>
      <c r="D68" s="851" t="e">
        <f>(D67-D66)/2</f>
        <v>#N/A</v>
      </c>
      <c r="E68" s="851" t="e">
        <f>(E66-E67)/2</f>
        <v>#N/A</v>
      </c>
      <c r="F68" s="851" t="e">
        <f>(F66-F67)/2</f>
        <v>#N/A</v>
      </c>
    </row>
    <row r="69" spans="2:10" ht="15" customHeight="1"/>
    <row r="70" spans="2:10">
      <c r="B70" s="814" t="s">
        <v>835</v>
      </c>
      <c r="D70" s="685"/>
    </row>
    <row r="71" spans="2:10">
      <c r="B71" s="694" t="s">
        <v>600</v>
      </c>
      <c r="C71" s="696" t="s">
        <v>602</v>
      </c>
      <c r="D71" s="694" t="s">
        <v>834</v>
      </c>
      <c r="E71" s="1262" t="s">
        <v>836</v>
      </c>
      <c r="F71" s="1263"/>
      <c r="G71" s="1263"/>
      <c r="H71" s="1264"/>
    </row>
    <row r="72" spans="2:10" ht="24" customHeight="1">
      <c r="B72" s="818" t="s">
        <v>845</v>
      </c>
      <c r="C72" s="852" t="e">
        <f>D62-IF(ABS(C68)&gt;=ABS(E68),ABS(C68),ABS(E68))</f>
        <v>#N/A</v>
      </c>
      <c r="D72" s="852" t="e">
        <f>D62-IF(ABS(D68)&gt;=ABS(F68),ABS(D68),ABS(F68))</f>
        <v>#N/A</v>
      </c>
      <c r="E72" s="1258" t="e">
        <f>IF(D72-F54&gt;=2*B58,"Ok","Not Ok")</f>
        <v>#N/A</v>
      </c>
      <c r="F72" s="1259"/>
      <c r="G72" s="1259"/>
      <c r="H72" s="1260"/>
    </row>
    <row r="73" spans="2:10" ht="9.75" customHeight="1">
      <c r="E73" s="685"/>
      <c r="F73" s="685"/>
      <c r="G73" s="685"/>
      <c r="H73" s="685"/>
    </row>
    <row r="74" spans="2:10">
      <c r="B74" s="814" t="s">
        <v>837</v>
      </c>
      <c r="E74" s="685"/>
      <c r="F74" s="685"/>
      <c r="G74" s="685"/>
      <c r="H74" s="685"/>
    </row>
    <row r="75" spans="2:10">
      <c r="B75" s="694" t="s">
        <v>600</v>
      </c>
      <c r="C75" s="825" t="s">
        <v>858</v>
      </c>
      <c r="D75" s="694" t="s">
        <v>834</v>
      </c>
      <c r="E75" s="1262" t="s">
        <v>836</v>
      </c>
      <c r="F75" s="1263"/>
      <c r="G75" s="1263"/>
      <c r="H75" s="1264"/>
      <c r="J75" s="221"/>
    </row>
    <row r="76" spans="2:10" ht="24">
      <c r="B76" s="826" t="s">
        <v>859</v>
      </c>
      <c r="C76" s="852" t="e">
        <f>C66-IF(C58="不能超过下塑胶",J50,K50)</f>
        <v>#N/A</v>
      </c>
      <c r="D76" s="852" t="e">
        <f>D66-IF(C58="不能超过下塑胶",J50,K50)</f>
        <v>#N/A</v>
      </c>
      <c r="E76" s="1258" t="e">
        <f>IF(D76&gt;=0,"Ok","Not Ok需调整极耳间距 or 极耳大小 or 极耳错位")</f>
        <v>#N/A</v>
      </c>
      <c r="F76" s="1259"/>
      <c r="G76" s="1259"/>
      <c r="H76" s="1260"/>
      <c r="J76" s="221"/>
    </row>
    <row r="77" spans="2:10" ht="7.5" customHeight="1">
      <c r="E77" s="685"/>
      <c r="F77" s="685"/>
      <c r="G77" s="685"/>
      <c r="H77" s="685"/>
    </row>
    <row r="78" spans="2:10">
      <c r="B78" s="814" t="s">
        <v>838</v>
      </c>
      <c r="E78" s="685"/>
      <c r="F78" s="685"/>
      <c r="G78" s="685"/>
      <c r="H78" s="685"/>
    </row>
    <row r="79" spans="2:10">
      <c r="B79" s="694" t="s">
        <v>600</v>
      </c>
      <c r="C79" s="696" t="s">
        <v>602</v>
      </c>
      <c r="D79" s="694" t="s">
        <v>834</v>
      </c>
      <c r="E79" s="1262" t="s">
        <v>836</v>
      </c>
      <c r="F79" s="1263"/>
      <c r="G79" s="1263"/>
      <c r="H79" s="1264"/>
    </row>
    <row r="80" spans="2:10" ht="24">
      <c r="B80" s="826" t="s">
        <v>860</v>
      </c>
      <c r="C80" s="853" t="e">
        <f>IF(D58="不能接触到极柱",B50-2*D50/2,C50)-E66</f>
        <v>#N/A</v>
      </c>
      <c r="D80" s="852" t="e">
        <f>IF(D58="不能接触到极柱",B50-2*D50/2,C50)-F66</f>
        <v>#N/A</v>
      </c>
      <c r="E80" s="1258" t="e">
        <f>IF(D80&gt;=0,"Ok","Not Ok需调整极耳间距 or 极耳大小 or 极耳错位")</f>
        <v>#N/A</v>
      </c>
      <c r="F80" s="1259"/>
      <c r="G80" s="1259"/>
      <c r="H80" s="1260"/>
    </row>
    <row r="81" spans="2:11">
      <c r="B81" s="697" t="s">
        <v>844</v>
      </c>
      <c r="C81" s="854" t="e">
        <f>设计主界面!J7</f>
        <v>#N/A</v>
      </c>
      <c r="D81" s="855" t="e">
        <f>C81-C54-D54</f>
        <v>#N/A</v>
      </c>
      <c r="E81" s="1257" t="e">
        <f>IF(D81&gt;=0,"Ok","Not ok 需调整极耳间距 or 极耳大小 or 极耳错位")</f>
        <v>#N/A</v>
      </c>
      <c r="F81" s="1257"/>
      <c r="G81" s="1257"/>
      <c r="H81" s="1257"/>
    </row>
    <row r="82" spans="2:11">
      <c r="B82" s="221"/>
      <c r="C82" s="221"/>
      <c r="D82" s="221"/>
    </row>
    <row r="83" spans="2:11">
      <c r="D83" s="221"/>
      <c r="J83" s="221"/>
      <c r="K83" s="221"/>
    </row>
    <row r="84" spans="2:11">
      <c r="D84" s="719"/>
    </row>
    <row r="86" spans="2:11">
      <c r="F86" s="856" t="e">
        <f>设计主界面!J7-C54-D54</f>
        <v>#N/A</v>
      </c>
      <c r="G86" s="857" t="e">
        <f>设计主界面!J7+C54+D54</f>
        <v>#N/A</v>
      </c>
    </row>
    <row r="87" spans="2:11">
      <c r="F87" s="856" t="e">
        <f>设计主界面!K7-C54-D54</f>
        <v>#N/A</v>
      </c>
      <c r="G87" s="857" t="e">
        <f>设计主界面!K7+C54+D54</f>
        <v>#N/A</v>
      </c>
    </row>
    <row r="100" spans="3:4">
      <c r="C100" s="789" t="s">
        <v>812</v>
      </c>
      <c r="D100" s="858" t="e">
        <f>设计主界面!D52</f>
        <v>#N/A</v>
      </c>
    </row>
    <row r="101" spans="3:4">
      <c r="C101" s="789" t="s">
        <v>813</v>
      </c>
      <c r="D101" s="858" t="e">
        <f>IF(设计主界面!O15="是",设计主界面!M52,设计主界面!D52)</f>
        <v>#N/A</v>
      </c>
    </row>
  </sheetData>
  <sheetProtection password="CCE3" sheet="1" objects="1" scenarios="1" formatCells="0" formatColumns="0" formatRows="0" insertColumns="0" insertRows="0" insertHyperlinks="0" deleteColumns="0" deleteRows="0" sort="0" autoFilter="0" pivotTables="0"/>
  <mergeCells count="8">
    <mergeCell ref="E81:H81"/>
    <mergeCell ref="E72:H72"/>
    <mergeCell ref="E80:H80"/>
    <mergeCell ref="E76:H76"/>
    <mergeCell ref="E16:F16"/>
    <mergeCell ref="E71:H71"/>
    <mergeCell ref="E75:H75"/>
    <mergeCell ref="E79:H79"/>
  </mergeCells>
  <phoneticPr fontId="6" type="noConversion"/>
  <conditionalFormatting sqref="E81">
    <cfRule type="cellIs" dxfId="7" priority="19" operator="equal">
      <formula>"Ok"</formula>
    </cfRule>
  </conditionalFormatting>
  <conditionalFormatting sqref="E81:H81">
    <cfRule type="cellIs" dxfId="6" priority="9" operator="notEqual">
      <formula>"Ok"</formula>
    </cfRule>
  </conditionalFormatting>
  <conditionalFormatting sqref="E76:H76">
    <cfRule type="cellIs" dxfId="5" priority="5" operator="notEqual">
      <formula>"Ok"</formula>
    </cfRule>
    <cfRule type="cellIs" dxfId="4" priority="6" operator="equal">
      <formula>"Ok"</formula>
    </cfRule>
  </conditionalFormatting>
  <conditionalFormatting sqref="E80:H80">
    <cfRule type="cellIs" dxfId="3" priority="3" operator="notEqual">
      <formula>"Ok"</formula>
    </cfRule>
    <cfRule type="cellIs" dxfId="2" priority="4" operator="equal">
      <formula>"Ok"</formula>
    </cfRule>
  </conditionalFormatting>
  <conditionalFormatting sqref="E72:H72">
    <cfRule type="cellIs" dxfId="1" priority="1" operator="notEqual">
      <formula>"Ok"</formula>
    </cfRule>
    <cfRule type="cellIs" dxfId="0" priority="2" operator="equal">
      <formula>"Ok"</formula>
    </cfRule>
  </conditionalFormatting>
  <dataValidations disablePrompts="1" count="2">
    <dataValidation type="list" allowBlank="1" showInputMessage="1" showErrorMessage="1" sqref="C58">
      <formula1>"不能超过下塑胶,不能超过防爆阀"</formula1>
    </dataValidation>
    <dataValidation type="list" allowBlank="1" showInputMessage="1" showErrorMessage="1" sqref="D58">
      <formula1>"不能接触到极柱,不能超过下塑胶内宽"</formula1>
    </dataValidation>
  </dataValidations>
  <hyperlinks>
    <hyperlink ref="I3" location="设计主界面!A1" display="返回"/>
  </hyperlinks>
  <pageMargins left="0.7" right="0.7" top="0.75" bottom="0.75" header="0.3" footer="0.3"/>
  <pageSetup paperSize="9" orientation="portrait" r:id="rId1"/>
  <ignoredErrors>
    <ignoredError sqref="B39 H7 E6" unlockedFormula="1"/>
  </ignoredErrors>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1:M18"/>
  <sheetViews>
    <sheetView showGridLines="0" topLeftCell="A7" zoomScaleNormal="100" workbookViewId="0">
      <selection activeCell="E10" sqref="E10"/>
    </sheetView>
  </sheetViews>
  <sheetFormatPr defaultColWidth="9" defaultRowHeight="12.75"/>
  <cols>
    <col min="1" max="1" width="3" style="499" customWidth="1" collapsed="1"/>
    <col min="2" max="2" width="8.25" style="499" bestFit="1" customWidth="1" collapsed="1"/>
    <col min="3" max="3" width="10.125" style="499" customWidth="1" collapsed="1"/>
    <col min="4" max="4" width="16.375" style="499" customWidth="1" collapsed="1"/>
    <col min="5" max="5" width="13.625" style="499" customWidth="1" collapsed="1"/>
    <col min="6" max="7" width="11.375" style="499" bestFit="1" customWidth="1" collapsed="1"/>
    <col min="8" max="8" width="18.125" style="499" bestFit="1" customWidth="1" collapsed="1"/>
    <col min="9" max="10" width="11.375" style="499" bestFit="1" customWidth="1" collapsed="1"/>
    <col min="11" max="12" width="14.75" style="499" bestFit="1" customWidth="1" collapsed="1"/>
    <col min="13" max="13" width="15.25" style="499" bestFit="1" customWidth="1" collapsed="1"/>
    <col min="14" max="14" width="17.375" style="499" bestFit="1" customWidth="1" collapsed="1"/>
    <col min="15" max="16384" width="9" style="499" collapsed="1"/>
  </cols>
  <sheetData>
    <row r="1" spans="2:13">
      <c r="B1" s="499" t="s">
        <v>529</v>
      </c>
    </row>
    <row r="2" spans="2:13" ht="16.5" customHeight="1">
      <c r="B2" s="1268" t="s">
        <v>530</v>
      </c>
      <c r="C2" s="1271" t="s">
        <v>532</v>
      </c>
      <c r="D2" s="1270" t="s">
        <v>533</v>
      </c>
      <c r="E2" s="1270"/>
      <c r="F2" s="1271" t="s">
        <v>534</v>
      </c>
      <c r="G2" s="1266" t="s">
        <v>535</v>
      </c>
      <c r="H2" s="1267"/>
      <c r="I2" s="1270" t="s">
        <v>531</v>
      </c>
      <c r="J2" s="1268" t="s">
        <v>536</v>
      </c>
      <c r="K2" s="1268" t="s">
        <v>537</v>
      </c>
      <c r="L2" s="1268" t="s">
        <v>279</v>
      </c>
      <c r="M2" s="1269" t="s">
        <v>538</v>
      </c>
    </row>
    <row r="3" spans="2:13" ht="16.5">
      <c r="B3" s="1268"/>
      <c r="C3" s="1271"/>
      <c r="D3" s="500" t="s">
        <v>539</v>
      </c>
      <c r="E3" s="498" t="s">
        <v>540</v>
      </c>
      <c r="F3" s="1271"/>
      <c r="G3" s="501" t="s">
        <v>541</v>
      </c>
      <c r="H3" s="68" t="s">
        <v>542</v>
      </c>
      <c r="I3" s="1270"/>
      <c r="J3" s="1268"/>
      <c r="K3" s="1268"/>
      <c r="L3" s="1268"/>
      <c r="M3" s="1269"/>
    </row>
    <row r="4" spans="2:13" ht="33">
      <c r="B4" s="65" t="s">
        <v>276</v>
      </c>
      <c r="C4" s="55" t="s">
        <v>267</v>
      </c>
      <c r="D4" s="66" t="s">
        <v>280</v>
      </c>
      <c r="E4" s="66" t="s">
        <v>281</v>
      </c>
      <c r="F4" s="55" t="s">
        <v>268</v>
      </c>
      <c r="G4" s="66" t="s">
        <v>282</v>
      </c>
      <c r="H4" s="66" t="s">
        <v>281</v>
      </c>
      <c r="I4" s="59" t="s">
        <v>266</v>
      </c>
      <c r="J4" s="60" t="s">
        <v>283</v>
      </c>
      <c r="K4" s="55" t="s">
        <v>269</v>
      </c>
      <c r="L4" s="55" t="s">
        <v>284</v>
      </c>
      <c r="M4" s="55" t="s">
        <v>285</v>
      </c>
    </row>
    <row r="5" spans="2:13" ht="42">
      <c r="B5" s="56" t="s">
        <v>277</v>
      </c>
      <c r="C5" s="58" t="s">
        <v>286</v>
      </c>
      <c r="D5" s="66" t="s">
        <v>282</v>
      </c>
      <c r="E5" s="67" t="s">
        <v>287</v>
      </c>
      <c r="F5" s="57" t="s">
        <v>288</v>
      </c>
      <c r="G5" s="66" t="s">
        <v>927</v>
      </c>
      <c r="H5" s="57" t="s">
        <v>289</v>
      </c>
      <c r="I5" s="60" t="s">
        <v>270</v>
      </c>
      <c r="J5" s="60" t="s">
        <v>283</v>
      </c>
      <c r="K5" s="55" t="s">
        <v>269</v>
      </c>
      <c r="L5" s="55" t="s">
        <v>284</v>
      </c>
      <c r="M5" s="60" t="s">
        <v>290</v>
      </c>
    </row>
    <row r="6" spans="2:13">
      <c r="B6" s="325"/>
      <c r="C6" s="325"/>
      <c r="D6" s="325"/>
      <c r="E6" s="325"/>
      <c r="F6" s="325"/>
      <c r="G6" s="325"/>
      <c r="H6" s="325"/>
      <c r="I6" s="325"/>
      <c r="J6" s="325"/>
      <c r="K6" s="325"/>
      <c r="L6" s="325"/>
      <c r="M6" s="325"/>
    </row>
    <row r="7" spans="2:13" ht="82.5" customHeight="1">
      <c r="B7" s="65" t="s">
        <v>543</v>
      </c>
      <c r="C7" s="55" t="s">
        <v>271</v>
      </c>
      <c r="D7" s="66" t="s">
        <v>545</v>
      </c>
      <c r="E7" s="66" t="s">
        <v>546</v>
      </c>
      <c r="F7" s="55" t="s">
        <v>272</v>
      </c>
      <c r="G7" s="66" t="s">
        <v>547</v>
      </c>
      <c r="H7" s="66" t="s">
        <v>548</v>
      </c>
      <c r="I7" s="59" t="s">
        <v>544</v>
      </c>
      <c r="J7" s="60" t="s">
        <v>549</v>
      </c>
      <c r="K7" s="55" t="s">
        <v>550</v>
      </c>
      <c r="L7" s="55" t="s">
        <v>551</v>
      </c>
      <c r="M7" s="55" t="s">
        <v>552</v>
      </c>
    </row>
    <row r="9" spans="2:13">
      <c r="B9" s="499" t="s">
        <v>553</v>
      </c>
      <c r="E9" s="499" t="e">
        <f>BOM!N6</f>
        <v>#N/A</v>
      </c>
    </row>
    <row r="10" spans="2:13" ht="33">
      <c r="C10" s="61" t="s">
        <v>554</v>
      </c>
      <c r="D10" s="62" t="s">
        <v>273</v>
      </c>
    </row>
    <row r="11" spans="2:13" ht="13.5" customHeight="1">
      <c r="C11" s="63"/>
      <c r="D11" s="502"/>
    </row>
    <row r="12" spans="2:13" ht="13.5" customHeight="1">
      <c r="B12" s="499" t="s">
        <v>555</v>
      </c>
    </row>
    <row r="13" spans="2:13" ht="33">
      <c r="C13" s="61" t="s">
        <v>556</v>
      </c>
      <c r="D13" s="62" t="s">
        <v>274</v>
      </c>
    </row>
    <row r="15" spans="2:13">
      <c r="B15" s="499" t="s">
        <v>557</v>
      </c>
    </row>
    <row r="16" spans="2:13" ht="33">
      <c r="C16" s="497" t="s">
        <v>558</v>
      </c>
      <c r="D16" s="497" t="s">
        <v>559</v>
      </c>
      <c r="E16" s="1265" t="s">
        <v>560</v>
      </c>
      <c r="F16" s="1265"/>
    </row>
    <row r="17" spans="3:6" ht="16.5">
      <c r="C17" s="54" t="s">
        <v>278</v>
      </c>
      <c r="D17" s="62">
        <v>0.5</v>
      </c>
      <c r="E17" s="1265" t="s">
        <v>928</v>
      </c>
      <c r="F17" s="1265"/>
    </row>
    <row r="18" spans="3:6" ht="16.5">
      <c r="C18" s="54" t="s">
        <v>275</v>
      </c>
      <c r="D18" s="64">
        <v>0.3</v>
      </c>
      <c r="E18" s="1265" t="s">
        <v>291</v>
      </c>
      <c r="F18" s="1265"/>
    </row>
  </sheetData>
  <sheetProtection algorithmName="SHA-512" hashValue="kTbMuxH/cqHCKdE9L0W5E/+O3YKiWtG7EXwVZV62iYd2gvnwTIlmzrO50ZDZl19Ej33W+Z8xYv/nlMtb8l3jSw==" saltValue="CL2loTWnVpd3obTo7aBzkA==" spinCount="100000" sheet="1" objects="1" scenarios="1" formatCells="0" formatColumns="0" formatRows="0" insertColumns="0" insertRows="0" insertHyperlinks="0" deleteColumns="0" deleteRows="0" sort="0" autoFilter="0" pivotTables="0"/>
  <mergeCells count="13">
    <mergeCell ref="L2:L3"/>
    <mergeCell ref="M2:M3"/>
    <mergeCell ref="E16:F16"/>
    <mergeCell ref="B2:B3"/>
    <mergeCell ref="I2:I3"/>
    <mergeCell ref="C2:C3"/>
    <mergeCell ref="D2:E2"/>
    <mergeCell ref="F2:F3"/>
    <mergeCell ref="E17:F17"/>
    <mergeCell ref="E18:F18"/>
    <mergeCell ref="G2:H2"/>
    <mergeCell ref="J2:J3"/>
    <mergeCell ref="K2:K3"/>
  </mergeCells>
  <phoneticPr fontId="6" type="noConversion"/>
  <hyperlinks>
    <hyperlink ref="C2:C3" r:id="rId1" display="单面Cpk"/>
    <hyperlink ref="F2:F3" r:id="rId2" display="双面Cpk"/>
  </hyperlinks>
  <pageMargins left="0.7" right="0.7" top="0.75" bottom="0.75" header="0.3" footer="0.3"/>
  <pageSetup paperSize="9" orientation="portrait" r:id="rId3"/>
  <drawing r:id="rId4"/>
  <legacyDrawing r:id="rId5"/>
  <oleObjects>
    <mc:AlternateContent xmlns:mc="http://schemas.openxmlformats.org/markup-compatibility/2006">
      <mc:Choice Requires="x14">
        <oleObject progId="工作表" dvAspect="DVASPECT_ICON" shapeId="30733" r:id="rId6">
          <objectPr defaultSize="0" autoPict="0" r:id="rId7">
            <anchor moveWithCells="1">
              <from>
                <xdr:col>7</xdr:col>
                <xdr:colOff>0</xdr:colOff>
                <xdr:row>9</xdr:row>
                <xdr:rowOff>0</xdr:rowOff>
              </from>
              <to>
                <xdr:col>7</xdr:col>
                <xdr:colOff>1362075</xdr:colOff>
                <xdr:row>12</xdr:row>
                <xdr:rowOff>257175</xdr:rowOff>
              </to>
            </anchor>
          </objectPr>
        </oleObject>
      </mc:Choice>
      <mc:Fallback>
        <oleObject progId="工作表" dvAspect="DVASPECT_ICON" shapeId="30733" r:id="rId6"/>
      </mc:Fallback>
    </mc:AlternateContent>
  </oleObjects>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26"/>
  <sheetViews>
    <sheetView showGridLines="0" topLeftCell="A105" zoomScaleNormal="100" workbookViewId="0">
      <selection activeCell="I119" sqref="I119"/>
    </sheetView>
  </sheetViews>
  <sheetFormatPr defaultColWidth="9" defaultRowHeight="12.75"/>
  <cols>
    <col min="1" max="1" width="1.25" style="265" customWidth="1" collapsed="1"/>
    <col min="2" max="2" width="2.25" style="265" customWidth="1" collapsed="1"/>
    <col min="3" max="3" width="13.375" style="265" customWidth="1" collapsed="1"/>
    <col min="4" max="13" width="10.125" style="265" customWidth="1" collapsed="1"/>
    <col min="14" max="16384" width="9" style="265" collapsed="1"/>
  </cols>
  <sheetData>
    <row r="1" spans="1:19">
      <c r="B1" s="266"/>
      <c r="C1" s="266"/>
      <c r="D1" s="266"/>
      <c r="E1" s="266"/>
      <c r="F1" s="266"/>
      <c r="G1" s="266"/>
      <c r="H1" s="266"/>
      <c r="I1" s="266"/>
      <c r="J1" s="266"/>
      <c r="K1" s="266"/>
      <c r="L1" s="266"/>
      <c r="M1" s="266"/>
      <c r="N1" s="266"/>
      <c r="O1" s="266"/>
      <c r="P1" s="266"/>
    </row>
    <row r="2" spans="1:19" s="271" customFormat="1" ht="21.75" thickBot="1">
      <c r="A2" s="267"/>
      <c r="B2" s="268"/>
      <c r="C2" s="269" t="s">
        <v>185</v>
      </c>
      <c r="D2" s="268"/>
      <c r="E2" s="268"/>
      <c r="F2" s="268"/>
      <c r="G2" s="270"/>
      <c r="H2" s="268"/>
      <c r="I2" s="268"/>
      <c r="J2" s="268"/>
      <c r="K2" s="268"/>
      <c r="L2" s="268"/>
      <c r="M2" s="315" t="s">
        <v>335</v>
      </c>
      <c r="N2" s="268"/>
      <c r="O2" s="268"/>
      <c r="P2" s="268"/>
    </row>
    <row r="3" spans="1:19" s="271" customFormat="1" ht="13.5" thickTop="1">
      <c r="K3" s="272"/>
    </row>
    <row r="4" spans="1:19" s="271" customFormat="1" ht="15">
      <c r="C4" s="273" t="s">
        <v>191</v>
      </c>
      <c r="K4" s="272"/>
    </row>
    <row r="5" spans="1:19" s="271" customFormat="1">
      <c r="E5" s="272"/>
      <c r="M5" s="271" t="s">
        <v>264</v>
      </c>
    </row>
    <row r="6" spans="1:19" s="271" customFormat="1" ht="14.25" customHeight="1">
      <c r="C6" s="1301" t="s">
        <v>190</v>
      </c>
      <c r="D6" s="274" t="s">
        <v>187</v>
      </c>
      <c r="E6" s="274" t="s">
        <v>188</v>
      </c>
      <c r="F6" s="274" t="s">
        <v>189</v>
      </c>
      <c r="M6" s="547" t="s">
        <v>73</v>
      </c>
      <c r="N6" s="506"/>
    </row>
    <row r="7" spans="1:19" s="271" customFormat="1" ht="14.25" customHeight="1">
      <c r="C7" s="1302"/>
      <c r="D7" s="582" t="e">
        <f>G19</f>
        <v>#N/A</v>
      </c>
      <c r="E7" s="582" t="e">
        <f>P19</f>
        <v>#N/A</v>
      </c>
      <c r="F7" s="582" t="e">
        <f>Q19</f>
        <v>#N/A</v>
      </c>
    </row>
    <row r="8" spans="1:19" s="271" customFormat="1" ht="14.25" customHeight="1">
      <c r="C8" s="275" t="s">
        <v>96</v>
      </c>
      <c r="E8" s="272"/>
    </row>
    <row r="9" spans="1:19" s="271" customFormat="1" ht="15" customHeight="1">
      <c r="E9" s="272" t="e">
        <f>BOM!N6</f>
        <v>#N/A</v>
      </c>
    </row>
    <row r="10" spans="1:19" s="276" customFormat="1" ht="15">
      <c r="B10" s="277"/>
      <c r="C10" s="278" t="s">
        <v>192</v>
      </c>
    </row>
    <row r="11" spans="1:19" s="276" customFormat="1" ht="13.5" thickBot="1">
      <c r="B11" s="277"/>
    </row>
    <row r="12" spans="1:19" s="279" customFormat="1" ht="18" thickTop="1" thickBot="1">
      <c r="C12" s="21"/>
      <c r="D12" s="21"/>
      <c r="E12" s="21"/>
      <c r="F12" s="21"/>
      <c r="G12" s="21"/>
      <c r="H12" s="21"/>
      <c r="I12" s="21"/>
      <c r="J12" s="20"/>
      <c r="K12" s="1276" t="s">
        <v>93</v>
      </c>
      <c r="L12" s="1277"/>
      <c r="M12" s="1278"/>
      <c r="N12" s="24"/>
      <c r="O12" s="1303" t="s">
        <v>103</v>
      </c>
      <c r="P12" s="1304"/>
      <c r="Q12" s="1305"/>
      <c r="R12" s="280"/>
      <c r="S12" s="281"/>
    </row>
    <row r="13" spans="1:19" s="279" customFormat="1" ht="16.5">
      <c r="C13" s="1281" t="s">
        <v>92</v>
      </c>
      <c r="D13" s="1283" t="s">
        <v>91</v>
      </c>
      <c r="E13" s="1285" t="s">
        <v>90</v>
      </c>
      <c r="F13" s="1285" t="s">
        <v>89</v>
      </c>
      <c r="G13" s="1287" t="s">
        <v>88</v>
      </c>
      <c r="H13" s="1288"/>
      <c r="I13" s="1289"/>
      <c r="J13" s="25" t="s">
        <v>184</v>
      </c>
      <c r="K13" s="33" t="s">
        <v>87</v>
      </c>
      <c r="L13" s="1279" t="s">
        <v>86</v>
      </c>
      <c r="M13" s="1272" t="s">
        <v>85</v>
      </c>
      <c r="N13" s="1306" t="s">
        <v>104</v>
      </c>
      <c r="O13" s="1308" t="s">
        <v>105</v>
      </c>
      <c r="P13" s="1309"/>
      <c r="Q13" s="1310"/>
      <c r="R13" s="280"/>
      <c r="S13" s="281"/>
    </row>
    <row r="14" spans="1:19" s="279" customFormat="1" ht="17.25" thickBot="1">
      <c r="C14" s="1282"/>
      <c r="D14" s="1284"/>
      <c r="E14" s="1286"/>
      <c r="F14" s="1286"/>
      <c r="G14" s="27" t="s">
        <v>84</v>
      </c>
      <c r="H14" s="78" t="s">
        <v>83</v>
      </c>
      <c r="I14" s="27" t="s">
        <v>82</v>
      </c>
      <c r="J14" s="28" t="s">
        <v>81</v>
      </c>
      <c r="K14" s="34" t="s">
        <v>80</v>
      </c>
      <c r="L14" s="1280"/>
      <c r="M14" s="1273"/>
      <c r="N14" s="1307"/>
      <c r="O14" s="35" t="s">
        <v>106</v>
      </c>
      <c r="P14" s="27" t="s">
        <v>86</v>
      </c>
      <c r="Q14" s="282" t="s">
        <v>85</v>
      </c>
      <c r="R14" s="280"/>
      <c r="S14" s="281"/>
    </row>
    <row r="15" spans="1:19" s="279" customFormat="1" ht="16.5">
      <c r="C15" s="666" t="s">
        <v>107</v>
      </c>
      <c r="D15" s="667"/>
      <c r="E15" s="1026"/>
      <c r="F15" s="583">
        <f>D15*E15</f>
        <v>0</v>
      </c>
      <c r="G15" s="584" t="e">
        <f>D32</f>
        <v>#N/A</v>
      </c>
      <c r="H15" s="591" t="e">
        <f>D32-E32</f>
        <v>#N/A</v>
      </c>
      <c r="I15" s="584"/>
      <c r="J15" s="592"/>
      <c r="K15" s="593" t="e">
        <f>ABS(F15)*(I15+H15)/2</f>
        <v>#N/A</v>
      </c>
      <c r="L15" s="594" t="e">
        <f>J15-K15</f>
        <v>#N/A</v>
      </c>
      <c r="M15" s="595" t="e">
        <f>J15+K15</f>
        <v>#N/A</v>
      </c>
      <c r="N15" s="32"/>
      <c r="O15" s="593" t="e">
        <f>K15/N15</f>
        <v>#N/A</v>
      </c>
      <c r="P15" s="594" t="e">
        <f>J15-O15</f>
        <v>#N/A</v>
      </c>
      <c r="Q15" s="595" t="e">
        <f>J15+O15</f>
        <v>#N/A</v>
      </c>
      <c r="R15" s="280"/>
      <c r="S15" s="281"/>
    </row>
    <row r="16" spans="1:19" s="279" customFormat="1" ht="16.5">
      <c r="C16" s="668" t="s">
        <v>108</v>
      </c>
      <c r="D16" s="669"/>
      <c r="E16" s="32"/>
      <c r="F16" s="585">
        <f>D16*E16</f>
        <v>0</v>
      </c>
      <c r="G16" s="586">
        <f>设计主界面!J34</f>
        <v>0</v>
      </c>
      <c r="H16" s="1025"/>
      <c r="I16" s="1025"/>
      <c r="J16" s="596">
        <f>ABS(F16)*(G16+(I16-H16)/2)</f>
        <v>0</v>
      </c>
      <c r="K16" s="597">
        <f>ABS(F16)*(I16+H16)/2</f>
        <v>0</v>
      </c>
      <c r="L16" s="598">
        <f>J16-K16</f>
        <v>0</v>
      </c>
      <c r="M16" s="599">
        <f>J16+K16</f>
        <v>0</v>
      </c>
      <c r="N16" s="32"/>
      <c r="O16" s="597" t="e">
        <f>K16/N16</f>
        <v>#DIV/0!</v>
      </c>
      <c r="P16" s="598" t="e">
        <f>J16-O16</f>
        <v>#DIV/0!</v>
      </c>
      <c r="Q16" s="599" t="e">
        <f>J16+O16</f>
        <v>#DIV/0!</v>
      </c>
      <c r="R16" s="280"/>
      <c r="S16" s="281"/>
    </row>
    <row r="17" spans="1:19" ht="16.5">
      <c r="C17" s="670" t="s">
        <v>183</v>
      </c>
      <c r="D17" s="671"/>
      <c r="E17" s="32"/>
      <c r="F17" s="585">
        <f>D17*E17</f>
        <v>0</v>
      </c>
      <c r="G17" s="586" t="e">
        <f>SUM(BOM!N29:N44)*1000</f>
        <v>#N/A</v>
      </c>
      <c r="H17" s="589" t="e">
        <f>G17*0.05</f>
        <v>#N/A</v>
      </c>
      <c r="I17" s="590" t="e">
        <f>G17*0.05</f>
        <v>#N/A</v>
      </c>
      <c r="J17" s="596" t="e">
        <f>ABS(F17)*(G17+(I17-H17)/2)</f>
        <v>#N/A</v>
      </c>
      <c r="K17" s="597" t="e">
        <f>ABS(F17)*(I17+H17)/2</f>
        <v>#N/A</v>
      </c>
      <c r="L17" s="598" t="e">
        <f>J17-K17</f>
        <v>#N/A</v>
      </c>
      <c r="M17" s="599" t="e">
        <f>J17+K17</f>
        <v>#N/A</v>
      </c>
      <c r="N17" s="32"/>
      <c r="O17" s="597" t="e">
        <f>K17/N17</f>
        <v>#N/A</v>
      </c>
      <c r="P17" s="598" t="e">
        <f>J17-O17</f>
        <v>#N/A</v>
      </c>
      <c r="Q17" s="599" t="e">
        <f>J17+O17</f>
        <v>#N/A</v>
      </c>
      <c r="R17" s="280"/>
      <c r="S17" s="281"/>
    </row>
    <row r="18" spans="1:19" ht="17.25" thickBot="1">
      <c r="C18" s="672"/>
      <c r="D18" s="673"/>
      <c r="E18" s="283"/>
      <c r="F18" s="587"/>
      <c r="G18" s="588"/>
      <c r="H18" s="602"/>
      <c r="I18" s="588"/>
      <c r="J18" s="600"/>
      <c r="K18" s="601"/>
      <c r="L18" s="602"/>
      <c r="M18" s="603"/>
      <c r="N18" s="1032"/>
      <c r="O18" s="601"/>
      <c r="P18" s="602"/>
      <c r="Q18" s="603"/>
      <c r="R18" s="280"/>
      <c r="S18" s="281"/>
    </row>
    <row r="19" spans="1:19" ht="18" thickTop="1" thickBot="1">
      <c r="C19" s="19"/>
      <c r="D19" s="19"/>
      <c r="E19" s="1274" t="s">
        <v>75</v>
      </c>
      <c r="F19" s="1275"/>
      <c r="G19" s="658" t="e">
        <f>G15+G16+G17</f>
        <v>#N/A</v>
      </c>
      <c r="H19" s="18"/>
      <c r="I19" s="284"/>
      <c r="J19" s="604"/>
      <c r="K19" s="605" t="e">
        <f>SUM(K15:K18)</f>
        <v>#N/A</v>
      </c>
      <c r="L19" s="606" t="e">
        <f>G19-K19</f>
        <v>#N/A</v>
      </c>
      <c r="M19" s="607" t="e">
        <f>G19+K19</f>
        <v>#N/A</v>
      </c>
      <c r="N19" s="285"/>
      <c r="O19" s="608" t="e">
        <f>SQRT(SUMSQ(O15:O18))</f>
        <v>#N/A</v>
      </c>
      <c r="P19" s="609" t="e">
        <f>G19-O19</f>
        <v>#N/A</v>
      </c>
      <c r="Q19" s="607" t="e">
        <f>G19+O19</f>
        <v>#N/A</v>
      </c>
      <c r="R19" s="280"/>
      <c r="S19" s="281"/>
    </row>
    <row r="20" spans="1:19" ht="17.25" thickTop="1">
      <c r="C20" s="37"/>
      <c r="D20" s="16"/>
      <c r="H20" s="16"/>
      <c r="I20" s="284"/>
      <c r="J20" s="286"/>
      <c r="K20" s="15"/>
      <c r="L20" s="14"/>
      <c r="M20" s="284"/>
      <c r="N20" s="284"/>
      <c r="O20" s="15"/>
      <c r="P20" s="19"/>
      <c r="Q20" s="284"/>
      <c r="R20" s="280"/>
      <c r="S20" s="281"/>
    </row>
    <row r="22" spans="1:19" s="271" customFormat="1" ht="21.75" thickBot="1">
      <c r="A22" s="267"/>
      <c r="B22" s="268"/>
      <c r="C22" s="269" t="s">
        <v>186</v>
      </c>
      <c r="D22" s="268"/>
      <c r="E22" s="268"/>
      <c r="F22" s="268"/>
      <c r="G22" s="270"/>
      <c r="H22" s="268"/>
      <c r="I22" s="268"/>
      <c r="J22" s="268"/>
      <c r="K22" s="268"/>
      <c r="L22" s="268"/>
      <c r="M22" s="268"/>
      <c r="N22" s="268"/>
      <c r="O22" s="268"/>
      <c r="P22" s="268"/>
    </row>
    <row r="23" spans="1:19" s="271" customFormat="1" ht="13.5" thickTop="1">
      <c r="A23" s="267"/>
      <c r="B23" s="267"/>
      <c r="C23" s="267"/>
      <c r="D23" s="267"/>
      <c r="E23" s="267"/>
      <c r="F23" s="267"/>
      <c r="G23" s="267"/>
      <c r="H23" s="267"/>
      <c r="I23" s="267"/>
      <c r="J23" s="267"/>
      <c r="K23" s="287"/>
      <c r="L23" s="267"/>
      <c r="M23" s="267"/>
    </row>
    <row r="24" spans="1:19" s="271" customFormat="1">
      <c r="K24" s="272"/>
    </row>
    <row r="25" spans="1:19" s="271" customFormat="1" ht="15">
      <c r="B25" s="273" t="s">
        <v>193</v>
      </c>
      <c r="K25" s="272"/>
    </row>
    <row r="26" spans="1:19" s="271" customFormat="1" ht="13.5" thickBot="1">
      <c r="K26" s="272"/>
      <c r="M26" s="271" t="s">
        <v>823</v>
      </c>
    </row>
    <row r="27" spans="1:19" s="271" customFormat="1" ht="15" customHeight="1" thickTop="1" thickBot="1">
      <c r="B27" s="288"/>
      <c r="C27" s="1299"/>
      <c r="D27" s="1300"/>
      <c r="E27" s="1297" t="s">
        <v>93</v>
      </c>
      <c r="F27" s="1298"/>
      <c r="G27" s="288"/>
      <c r="H27" s="288"/>
      <c r="I27" s="288"/>
      <c r="J27" s="288"/>
      <c r="K27" s="289"/>
      <c r="L27" s="288"/>
      <c r="M27" s="288" t="s">
        <v>824</v>
      </c>
    </row>
    <row r="28" spans="1:19" s="271" customFormat="1">
      <c r="B28" s="288"/>
      <c r="C28" s="290"/>
      <c r="D28" s="291" t="s">
        <v>102</v>
      </c>
      <c r="E28" s="292" t="s">
        <v>101</v>
      </c>
      <c r="F28" s="293" t="s">
        <v>100</v>
      </c>
      <c r="G28" s="288"/>
      <c r="H28" s="288"/>
    </row>
    <row r="29" spans="1:19" s="271" customFormat="1">
      <c r="B29" s="288"/>
      <c r="C29" s="294" t="s">
        <v>99</v>
      </c>
      <c r="D29" s="610" t="e">
        <f>G64</f>
        <v>#N/A</v>
      </c>
      <c r="E29" s="611" t="e">
        <f>L64</f>
        <v>#N/A</v>
      </c>
      <c r="F29" s="612" t="e">
        <f>M64</f>
        <v>#N/A</v>
      </c>
      <c r="G29" s="288"/>
      <c r="H29" s="288"/>
    </row>
    <row r="30" spans="1:19" s="271" customFormat="1">
      <c r="B30" s="288"/>
      <c r="C30" s="294" t="s">
        <v>98</v>
      </c>
      <c r="D30" s="610" t="e">
        <f>G95</f>
        <v>#N/A</v>
      </c>
      <c r="E30" s="611" t="e">
        <f>L95</f>
        <v>#N/A</v>
      </c>
      <c r="F30" s="612" t="e">
        <f>M95</f>
        <v>#N/A</v>
      </c>
      <c r="G30" s="288"/>
      <c r="H30" s="288"/>
    </row>
    <row r="31" spans="1:19" s="271" customFormat="1">
      <c r="B31" s="288"/>
      <c r="C31" s="294" t="s">
        <v>97</v>
      </c>
      <c r="D31" s="610" t="e">
        <f>G122</f>
        <v>#N/A</v>
      </c>
      <c r="E31" s="611" t="e">
        <f>L122</f>
        <v>#N/A</v>
      </c>
      <c r="F31" s="612" t="e">
        <f>M122</f>
        <v>#N/A</v>
      </c>
      <c r="G31" s="288"/>
      <c r="H31" s="288"/>
    </row>
    <row r="32" spans="1:19" s="271" customFormat="1" ht="13.5" thickBot="1">
      <c r="B32" s="288"/>
      <c r="C32" s="295" t="s">
        <v>181</v>
      </c>
      <c r="D32" s="613" t="e">
        <f>D29+D30+D31</f>
        <v>#N/A</v>
      </c>
      <c r="E32" s="614" t="e">
        <f>E29+E30+E31</f>
        <v>#N/A</v>
      </c>
      <c r="F32" s="615" t="e">
        <f>F29+F30+F31</f>
        <v>#N/A</v>
      </c>
      <c r="G32" s="288"/>
      <c r="H32" s="288"/>
    </row>
    <row r="33" spans="2:15" s="271" customFormat="1">
      <c r="B33" s="288"/>
      <c r="C33" s="674" t="s">
        <v>182</v>
      </c>
      <c r="D33" s="288"/>
      <c r="E33" s="288"/>
      <c r="F33" s="288"/>
      <c r="G33" s="288"/>
      <c r="H33" s="288"/>
    </row>
    <row r="34" spans="2:15" s="279" customFormat="1" ht="15.75">
      <c r="B34" s="296" t="s">
        <v>194</v>
      </c>
      <c r="C34" s="276"/>
      <c r="D34" s="276"/>
      <c r="E34" s="276"/>
      <c r="F34" s="276"/>
      <c r="G34" s="276"/>
      <c r="H34" s="276"/>
      <c r="I34" s="276"/>
      <c r="J34" s="276"/>
      <c r="K34" s="276"/>
      <c r="L34" s="616"/>
    </row>
    <row r="35" spans="2:15" s="279" customFormat="1" ht="15">
      <c r="B35" s="297"/>
      <c r="C35" s="276"/>
      <c r="D35" s="276"/>
      <c r="E35" s="276"/>
      <c r="F35" s="276"/>
      <c r="G35" s="276"/>
      <c r="H35" s="276"/>
      <c r="I35" s="276"/>
      <c r="J35" s="276"/>
      <c r="K35" s="276"/>
      <c r="L35" s="616"/>
    </row>
    <row r="36" spans="2:15" s="279" customFormat="1" ht="15">
      <c r="B36" s="297"/>
      <c r="C36" s="276"/>
      <c r="D36" s="276"/>
      <c r="E36" s="276"/>
      <c r="F36" s="276"/>
      <c r="G36" s="276"/>
      <c r="H36" s="276"/>
      <c r="I36" s="276"/>
      <c r="J36" s="276"/>
      <c r="K36" s="276"/>
      <c r="L36" s="617">
        <f>Overhang!K113</f>
        <v>-6.75</v>
      </c>
    </row>
    <row r="37" spans="2:15" s="279" customFormat="1" ht="15">
      <c r="B37" s="297"/>
      <c r="C37" s="276"/>
      <c r="D37" s="276"/>
      <c r="E37" s="276"/>
      <c r="F37" s="276"/>
      <c r="G37" s="276"/>
      <c r="H37" s="276"/>
      <c r="I37" s="276"/>
      <c r="J37" s="276"/>
      <c r="K37" s="276"/>
      <c r="L37" s="616"/>
    </row>
    <row r="38" spans="2:15" s="279" customFormat="1" ht="15">
      <c r="B38" s="297"/>
      <c r="C38" s="276"/>
      <c r="D38" s="276"/>
      <c r="E38" s="276"/>
      <c r="F38" s="276"/>
      <c r="G38" s="276"/>
      <c r="H38" s="276"/>
      <c r="I38" s="276"/>
      <c r="J38" s="276"/>
      <c r="K38" s="276"/>
      <c r="L38" s="616"/>
    </row>
    <row r="39" spans="2:15" s="279" customFormat="1" ht="15">
      <c r="B39" s="297"/>
      <c r="C39" s="276"/>
      <c r="D39" s="276"/>
      <c r="E39" s="276"/>
      <c r="F39" s="276"/>
      <c r="G39" s="276"/>
      <c r="H39" s="276"/>
      <c r="I39" s="276"/>
      <c r="J39" s="276"/>
      <c r="K39" s="276"/>
      <c r="L39" s="618" t="e">
        <f>Overhang!$K$116</f>
        <v>#N/A</v>
      </c>
    </row>
    <row r="40" spans="2:15" s="279" customFormat="1" ht="15">
      <c r="B40" s="297"/>
      <c r="C40" s="276"/>
      <c r="D40" s="276"/>
      <c r="E40" s="276"/>
      <c r="F40" s="276"/>
      <c r="G40" s="276"/>
      <c r="H40" s="276"/>
      <c r="I40" s="276"/>
      <c r="J40" s="276"/>
      <c r="K40" s="276"/>
      <c r="L40" s="616"/>
    </row>
    <row r="41" spans="2:15" s="279" customFormat="1" ht="15">
      <c r="B41" s="297"/>
      <c r="C41" s="276"/>
      <c r="D41" s="276"/>
      <c r="E41" s="276"/>
      <c r="F41" s="276"/>
      <c r="G41" s="276"/>
      <c r="H41" s="276"/>
      <c r="I41" s="276"/>
      <c r="J41" s="276"/>
      <c r="K41" s="276"/>
      <c r="L41" s="276"/>
    </row>
    <row r="42" spans="2:15" s="279" customFormat="1" ht="15">
      <c r="B42" s="297"/>
      <c r="C42" s="276"/>
      <c r="D42" s="276"/>
      <c r="E42" s="276"/>
      <c r="F42" s="619" t="e">
        <f>设计主界面!E40</f>
        <v>#N/A</v>
      </c>
      <c r="G42" s="276"/>
      <c r="H42" s="276"/>
      <c r="I42" s="276"/>
      <c r="J42" s="276"/>
      <c r="K42" s="276"/>
      <c r="L42" s="276"/>
    </row>
    <row r="43" spans="2:15" s="279" customFormat="1" ht="15">
      <c r="B43" s="297"/>
      <c r="C43" s="276"/>
      <c r="D43" s="276"/>
      <c r="E43" s="276"/>
      <c r="F43" s="276"/>
      <c r="G43" s="276"/>
      <c r="H43" s="276"/>
      <c r="I43" s="276"/>
      <c r="J43" s="276"/>
      <c r="K43" s="276"/>
      <c r="L43" s="276"/>
    </row>
    <row r="44" spans="2:15" s="279" customFormat="1" ht="15.75" thickBot="1">
      <c r="B44" s="297"/>
      <c r="C44" s="276"/>
      <c r="D44" s="276"/>
      <c r="E44" s="276"/>
      <c r="F44" s="276"/>
      <c r="G44" s="276"/>
      <c r="H44" s="276"/>
      <c r="I44" s="276"/>
      <c r="J44" s="276"/>
      <c r="K44" s="276"/>
      <c r="L44" s="276"/>
    </row>
    <row r="45" spans="2:15" s="279" customFormat="1" ht="18" thickTop="1" thickBot="1">
      <c r="C45" s="21"/>
      <c r="D45" s="21"/>
      <c r="E45" s="21"/>
      <c r="F45" s="21"/>
      <c r="G45" s="21"/>
      <c r="H45" s="21"/>
      <c r="I45" s="21"/>
      <c r="J45" s="20"/>
      <c r="K45" s="1292" t="s">
        <v>93</v>
      </c>
      <c r="L45" s="1293"/>
      <c r="M45" s="1294"/>
      <c r="N45" s="280"/>
      <c r="O45" s="281"/>
    </row>
    <row r="46" spans="2:15" s="279" customFormat="1" ht="16.5">
      <c r="C46" s="1281" t="s">
        <v>92</v>
      </c>
      <c r="D46" s="1283" t="s">
        <v>91</v>
      </c>
      <c r="E46" s="1285" t="s">
        <v>90</v>
      </c>
      <c r="F46" s="1285" t="s">
        <v>89</v>
      </c>
      <c r="G46" s="1287" t="s">
        <v>88</v>
      </c>
      <c r="H46" s="1288"/>
      <c r="I46" s="1289"/>
      <c r="J46" s="25" t="s">
        <v>87</v>
      </c>
      <c r="K46" s="26" t="s">
        <v>87</v>
      </c>
      <c r="L46" s="1279" t="s">
        <v>86</v>
      </c>
      <c r="M46" s="1295" t="s">
        <v>85</v>
      </c>
      <c r="N46" s="280"/>
      <c r="O46" s="281"/>
    </row>
    <row r="47" spans="2:15" s="279" customFormat="1" ht="17.25" thickBot="1">
      <c r="C47" s="1282"/>
      <c r="D47" s="1284"/>
      <c r="E47" s="1286"/>
      <c r="F47" s="1286"/>
      <c r="G47" s="27" t="s">
        <v>84</v>
      </c>
      <c r="H47" s="78" t="s">
        <v>83</v>
      </c>
      <c r="I47" s="27" t="s">
        <v>82</v>
      </c>
      <c r="J47" s="28" t="s">
        <v>81</v>
      </c>
      <c r="K47" s="29" t="s">
        <v>80</v>
      </c>
      <c r="L47" s="1280"/>
      <c r="M47" s="1296"/>
      <c r="N47" s="280"/>
      <c r="O47" s="281"/>
    </row>
    <row r="48" spans="2:15" s="279" customFormat="1" ht="16.5">
      <c r="C48" s="675" t="s">
        <v>95</v>
      </c>
      <c r="D48" s="667"/>
      <c r="E48" s="1026"/>
      <c r="F48" s="620">
        <f>D48*E48</f>
        <v>0</v>
      </c>
      <c r="G48" s="584" t="e">
        <f>L39</f>
        <v>#N/A</v>
      </c>
      <c r="H48" s="1028"/>
      <c r="I48" s="1030"/>
      <c r="J48" s="592" t="e">
        <f t="shared" ref="J48:J57" si="0">ABS(F48)*(G48+(I48-H48)/2)</f>
        <v>#N/A</v>
      </c>
      <c r="K48" s="629">
        <f t="shared" ref="K48:K56" si="1">ABS(F48)*(I48+H48)/2</f>
        <v>0</v>
      </c>
      <c r="L48" s="594" t="e">
        <f t="shared" ref="L48:L57" si="2">J48-K48</f>
        <v>#N/A</v>
      </c>
      <c r="M48" s="630" t="e">
        <f t="shared" ref="M48:M57" si="3">J48+K48</f>
        <v>#N/A</v>
      </c>
      <c r="N48" s="280"/>
      <c r="O48" s="281"/>
    </row>
    <row r="49" spans="3:15" ht="16.5">
      <c r="C49" s="676" t="s">
        <v>157</v>
      </c>
      <c r="D49" s="671"/>
      <c r="E49" s="32"/>
      <c r="F49" s="585">
        <f>D49*E49</f>
        <v>0</v>
      </c>
      <c r="G49" s="621" t="e">
        <f>F42*2</f>
        <v>#N/A</v>
      </c>
      <c r="H49" s="1029"/>
      <c r="I49" s="1029"/>
      <c r="J49" s="596" t="e">
        <f t="shared" si="0"/>
        <v>#N/A</v>
      </c>
      <c r="K49" s="631">
        <f t="shared" si="1"/>
        <v>0</v>
      </c>
      <c r="L49" s="589" t="e">
        <f t="shared" si="2"/>
        <v>#N/A</v>
      </c>
      <c r="M49" s="632" t="e">
        <f t="shared" si="3"/>
        <v>#N/A</v>
      </c>
      <c r="N49" s="280"/>
      <c r="O49" s="281"/>
    </row>
    <row r="50" spans="3:15" ht="16.5">
      <c r="C50" s="677" t="s">
        <v>94</v>
      </c>
      <c r="D50" s="671"/>
      <c r="E50" s="32"/>
      <c r="F50" s="585">
        <f>D50*E50</f>
        <v>0</v>
      </c>
      <c r="G50" s="621">
        <f>设计主界面!I20</f>
        <v>0</v>
      </c>
      <c r="H50" s="1029"/>
      <c r="I50" s="1029"/>
      <c r="J50" s="596">
        <f t="shared" si="0"/>
        <v>0</v>
      </c>
      <c r="K50" s="631">
        <f t="shared" si="1"/>
        <v>0</v>
      </c>
      <c r="L50" s="589">
        <f t="shared" si="2"/>
        <v>0</v>
      </c>
      <c r="M50" s="632">
        <f t="shared" si="3"/>
        <v>0</v>
      </c>
      <c r="N50" s="280"/>
      <c r="O50" s="281"/>
    </row>
    <row r="51" spans="3:15" ht="16.5">
      <c r="C51" s="677" t="s">
        <v>163</v>
      </c>
      <c r="D51" s="671"/>
      <c r="E51" s="32"/>
      <c r="F51" s="622">
        <f>D51*E51</f>
        <v>0</v>
      </c>
      <c r="G51" s="586" t="e">
        <f>G48</f>
        <v>#N/A</v>
      </c>
      <c r="H51" s="1029"/>
      <c r="I51" s="1029"/>
      <c r="J51" s="596" t="e">
        <f t="shared" si="0"/>
        <v>#N/A</v>
      </c>
      <c r="K51" s="631">
        <f t="shared" si="1"/>
        <v>0</v>
      </c>
      <c r="L51" s="589" t="e">
        <f t="shared" si="2"/>
        <v>#N/A</v>
      </c>
      <c r="M51" s="632" t="e">
        <f t="shared" si="3"/>
        <v>#N/A</v>
      </c>
      <c r="N51" s="280"/>
      <c r="O51" s="281"/>
    </row>
    <row r="52" spans="3:15" ht="16.5">
      <c r="C52" s="677" t="s">
        <v>164</v>
      </c>
      <c r="D52" s="671"/>
      <c r="E52" s="32"/>
      <c r="F52" s="622">
        <f t="shared" ref="F52:F55" si="4">D52*E52</f>
        <v>0</v>
      </c>
      <c r="G52" s="586" t="e">
        <f>F42</f>
        <v>#N/A</v>
      </c>
      <c r="H52" s="1029"/>
      <c r="I52" s="1029"/>
      <c r="J52" s="596" t="e">
        <f t="shared" si="0"/>
        <v>#N/A</v>
      </c>
      <c r="K52" s="631">
        <f t="shared" si="1"/>
        <v>0</v>
      </c>
      <c r="L52" s="589" t="e">
        <f t="shared" si="2"/>
        <v>#N/A</v>
      </c>
      <c r="M52" s="632" t="e">
        <f t="shared" si="3"/>
        <v>#N/A</v>
      </c>
      <c r="N52" s="280"/>
      <c r="O52" s="281"/>
    </row>
    <row r="53" spans="3:15" ht="16.5">
      <c r="C53" s="677" t="s">
        <v>165</v>
      </c>
      <c r="D53" s="671"/>
      <c r="E53" s="32"/>
      <c r="F53" s="622">
        <f t="shared" si="4"/>
        <v>0</v>
      </c>
      <c r="G53" s="586" t="e">
        <f>材料数据库!F100</f>
        <v>#N/A</v>
      </c>
      <c r="H53" s="1029"/>
      <c r="I53" s="1029"/>
      <c r="J53" s="596" t="e">
        <f t="shared" si="0"/>
        <v>#N/A</v>
      </c>
      <c r="K53" s="631">
        <f t="shared" si="1"/>
        <v>0</v>
      </c>
      <c r="L53" s="589" t="e">
        <f t="shared" si="2"/>
        <v>#N/A</v>
      </c>
      <c r="M53" s="632" t="e">
        <f t="shared" si="3"/>
        <v>#N/A</v>
      </c>
      <c r="N53" s="280"/>
      <c r="O53" s="281"/>
    </row>
    <row r="54" spans="3:15" s="279" customFormat="1" ht="16.5">
      <c r="C54" s="678" t="s">
        <v>158</v>
      </c>
      <c r="D54" s="669"/>
      <c r="E54" s="32"/>
      <c r="F54" s="622">
        <f t="shared" si="4"/>
        <v>0</v>
      </c>
      <c r="G54" s="586">
        <f>(极耳错位!D62+极耳错位!E62)*L36/2</f>
        <v>0</v>
      </c>
      <c r="H54" s="1029"/>
      <c r="I54" s="1029"/>
      <c r="J54" s="633">
        <f t="shared" si="0"/>
        <v>0</v>
      </c>
      <c r="K54" s="634">
        <f t="shared" si="1"/>
        <v>0</v>
      </c>
      <c r="L54" s="598">
        <f t="shared" si="2"/>
        <v>0</v>
      </c>
      <c r="M54" s="635">
        <f t="shared" si="3"/>
        <v>0</v>
      </c>
      <c r="N54" s="280"/>
      <c r="O54" s="281"/>
    </row>
    <row r="55" spans="3:15" s="279" customFormat="1" ht="16.5">
      <c r="C55" s="678" t="s">
        <v>159</v>
      </c>
      <c r="D55" s="669"/>
      <c r="E55" s="32"/>
      <c r="F55" s="622">
        <f t="shared" si="4"/>
        <v>0</v>
      </c>
      <c r="G55" s="586">
        <f>IF(设计主界面!P15="一层一个",模切尺寸!N49,模切尺寸!F49)</f>
        <v>-1</v>
      </c>
      <c r="H55" s="1029"/>
      <c r="I55" s="1029"/>
      <c r="J55" s="633">
        <f t="shared" si="0"/>
        <v>0</v>
      </c>
      <c r="K55" s="634">
        <f t="shared" si="1"/>
        <v>0</v>
      </c>
      <c r="L55" s="598">
        <f t="shared" si="2"/>
        <v>0</v>
      </c>
      <c r="M55" s="635">
        <f t="shared" si="3"/>
        <v>0</v>
      </c>
      <c r="N55" s="280"/>
      <c r="O55" s="281"/>
    </row>
    <row r="56" spans="3:15" ht="16.5">
      <c r="C56" s="678" t="s">
        <v>161</v>
      </c>
      <c r="D56" s="671"/>
      <c r="E56" s="32"/>
      <c r="F56" s="585">
        <f>D56*E56</f>
        <v>0</v>
      </c>
      <c r="G56" s="621" t="e">
        <f>材料数据库!F100</f>
        <v>#N/A</v>
      </c>
      <c r="H56" s="1029"/>
      <c r="I56" s="1029"/>
      <c r="J56" s="596" t="e">
        <f t="shared" si="0"/>
        <v>#N/A</v>
      </c>
      <c r="K56" s="631">
        <f t="shared" si="1"/>
        <v>0</v>
      </c>
      <c r="L56" s="589" t="e">
        <f t="shared" si="2"/>
        <v>#N/A</v>
      </c>
      <c r="M56" s="632" t="e">
        <f t="shared" si="3"/>
        <v>#N/A</v>
      </c>
      <c r="N56" s="280"/>
      <c r="O56" s="298"/>
    </row>
    <row r="57" spans="3:15" ht="16.5">
      <c r="C57" s="676" t="s">
        <v>162</v>
      </c>
      <c r="D57" s="671"/>
      <c r="E57" s="32"/>
      <c r="F57" s="622">
        <f>D57*E57</f>
        <v>0</v>
      </c>
      <c r="G57" s="621">
        <f>设计主界面!L15</f>
        <v>0</v>
      </c>
      <c r="H57" s="1029"/>
      <c r="I57" s="1029"/>
      <c r="J57" s="596">
        <f t="shared" si="0"/>
        <v>0</v>
      </c>
      <c r="K57" s="636">
        <v>0</v>
      </c>
      <c r="L57" s="589">
        <f t="shared" si="2"/>
        <v>0</v>
      </c>
      <c r="M57" s="632">
        <f t="shared" si="3"/>
        <v>0</v>
      </c>
      <c r="N57" s="280"/>
      <c r="O57" s="298"/>
    </row>
    <row r="58" spans="3:15" ht="16.5">
      <c r="C58" s="676"/>
      <c r="D58" s="671"/>
      <c r="E58" s="32"/>
      <c r="F58" s="622"/>
      <c r="G58" s="623"/>
      <c r="H58" s="1029"/>
      <c r="I58" s="1029"/>
      <c r="J58" s="637"/>
      <c r="K58" s="636"/>
      <c r="L58" s="638"/>
      <c r="M58" s="639"/>
      <c r="N58" s="280"/>
      <c r="O58" s="298"/>
    </row>
    <row r="59" spans="3:15" ht="16.5">
      <c r="C59" s="676"/>
      <c r="D59" s="671"/>
      <c r="E59" s="32"/>
      <c r="F59" s="622"/>
      <c r="G59" s="624"/>
      <c r="H59" s="1029"/>
      <c r="I59" s="1029"/>
      <c r="J59" s="637"/>
      <c r="K59" s="640"/>
      <c r="L59" s="638"/>
      <c r="M59" s="639"/>
      <c r="N59" s="280"/>
      <c r="O59" s="298"/>
    </row>
    <row r="60" spans="3:15" ht="17.25" thickBot="1">
      <c r="C60" s="679"/>
      <c r="D60" s="673"/>
      <c r="E60" s="32"/>
      <c r="F60" s="587"/>
      <c r="G60" s="588"/>
      <c r="H60" s="1031"/>
      <c r="I60" s="1031"/>
      <c r="J60" s="600"/>
      <c r="K60" s="641"/>
      <c r="L60" s="602"/>
      <c r="M60" s="642"/>
      <c r="N60" s="280"/>
      <c r="O60" s="281"/>
    </row>
    <row r="61" spans="3:15" ht="16.5">
      <c r="C61" s="19"/>
      <c r="D61" s="19"/>
      <c r="E61" s="23"/>
      <c r="F61" s="299" t="s">
        <v>167</v>
      </c>
      <c r="G61" s="625" t="e">
        <f>G57*G48*G49*G50/1540.25</f>
        <v>#N/A</v>
      </c>
      <c r="H61" s="18"/>
      <c r="I61" s="284"/>
      <c r="J61" s="643"/>
      <c r="K61" s="300"/>
      <c r="L61" s="644" t="e">
        <f>L57*L48*L49*L50/1540.25</f>
        <v>#N/A</v>
      </c>
      <c r="M61" s="645" t="e">
        <f>M57*M48*M49*M50/1540.25</f>
        <v>#N/A</v>
      </c>
      <c r="N61" s="280"/>
      <c r="O61" s="281"/>
    </row>
    <row r="62" spans="3:15" ht="16.5">
      <c r="C62" s="19"/>
      <c r="D62" s="19"/>
      <c r="E62" s="22"/>
      <c r="F62" s="301" t="s">
        <v>168</v>
      </c>
      <c r="G62" s="626" t="e">
        <f>G57*G51*G52*G53/1540.25</f>
        <v>#N/A</v>
      </c>
      <c r="H62" s="18"/>
      <c r="I62" s="284"/>
      <c r="J62" s="643"/>
      <c r="K62" s="302"/>
      <c r="L62" s="646" t="e">
        <f>L57*L51*L52*L53/1540.25</f>
        <v>#N/A</v>
      </c>
      <c r="M62" s="647" t="e">
        <f>M57*M51*M52*M53/1540.25</f>
        <v>#N/A</v>
      </c>
      <c r="N62" s="303"/>
      <c r="O62" s="281"/>
    </row>
    <row r="63" spans="3:15" ht="16.5">
      <c r="C63" s="19"/>
      <c r="D63" s="19"/>
      <c r="E63" s="31"/>
      <c r="F63" s="304" t="s">
        <v>166</v>
      </c>
      <c r="G63" s="627" t="e">
        <f>G57*G54*G55*G56/1540.25</f>
        <v>#N/A</v>
      </c>
      <c r="H63" s="18"/>
      <c r="I63" s="284"/>
      <c r="J63" s="643"/>
      <c r="K63" s="305"/>
      <c r="L63" s="648" t="e">
        <f>L57*L54*L55*L56/1540.25</f>
        <v>#N/A</v>
      </c>
      <c r="M63" s="649" t="e">
        <f>M57*M54*M55*M56/1540.25</f>
        <v>#N/A</v>
      </c>
      <c r="N63" s="303"/>
      <c r="O63" s="281"/>
    </row>
    <row r="64" spans="3:15" ht="17.25" thickBot="1">
      <c r="C64" s="16"/>
      <c r="D64" s="17" t="s">
        <v>76</v>
      </c>
      <c r="E64" s="1290" t="s">
        <v>75</v>
      </c>
      <c r="F64" s="1291"/>
      <c r="G64" s="628" t="e">
        <f>G61+G62+G63</f>
        <v>#N/A</v>
      </c>
      <c r="H64" s="16"/>
      <c r="I64" s="284"/>
      <c r="J64" s="643"/>
      <c r="K64" s="30"/>
      <c r="L64" s="650" t="e">
        <f>L61+L62</f>
        <v>#N/A</v>
      </c>
      <c r="M64" s="651" t="e">
        <f>M61+M62</f>
        <v>#N/A</v>
      </c>
      <c r="N64" s="303"/>
      <c r="O64" s="281"/>
    </row>
    <row r="65" spans="2:15" ht="13.5" thickTop="1">
      <c r="J65" s="275"/>
      <c r="K65" s="275"/>
      <c r="L65" s="275"/>
      <c r="M65" s="275"/>
    </row>
    <row r="66" spans="2:15" s="279" customFormat="1" ht="15">
      <c r="C66" s="276"/>
      <c r="D66" s="276"/>
      <c r="E66" s="276"/>
      <c r="F66" s="276"/>
      <c r="G66" s="276"/>
      <c r="H66" s="276"/>
      <c r="I66" s="276"/>
      <c r="J66" s="276"/>
      <c r="K66" s="276"/>
      <c r="L66" s="276"/>
    </row>
    <row r="67" spans="2:15" s="279" customFormat="1" ht="15.75">
      <c r="B67" s="296" t="s">
        <v>195</v>
      </c>
      <c r="C67" s="276"/>
      <c r="D67" s="276"/>
      <c r="E67" s="276"/>
      <c r="F67" s="276"/>
      <c r="G67" s="276"/>
      <c r="H67" s="276"/>
      <c r="I67" s="276"/>
      <c r="J67" s="276"/>
      <c r="K67" s="276"/>
      <c r="L67" s="276"/>
    </row>
    <row r="68" spans="2:15" s="279" customFormat="1" ht="15">
      <c r="C68" s="276"/>
      <c r="D68" s="276"/>
      <c r="E68" s="276"/>
      <c r="F68" s="276"/>
      <c r="G68" s="276"/>
      <c r="H68" s="276"/>
      <c r="I68" s="276"/>
      <c r="J68" s="276"/>
      <c r="K68" s="276"/>
      <c r="L68" s="276"/>
    </row>
    <row r="69" spans="2:15" s="279" customFormat="1" ht="15">
      <c r="C69" s="276"/>
      <c r="D69" s="276"/>
      <c r="E69" s="276"/>
      <c r="F69" s="276"/>
      <c r="G69" s="276"/>
      <c r="H69" s="276"/>
      <c r="I69" s="276"/>
      <c r="J69" s="276"/>
      <c r="K69" s="276"/>
      <c r="L69" s="617">
        <f>Overhang!$K$68</f>
        <v>-2.25</v>
      </c>
    </row>
    <row r="70" spans="2:15" s="279" customFormat="1" ht="15">
      <c r="C70" s="276"/>
      <c r="D70" s="276"/>
      <c r="E70" s="276"/>
      <c r="F70" s="276"/>
      <c r="G70" s="276"/>
      <c r="H70" s="276"/>
      <c r="I70" s="276"/>
      <c r="J70" s="276"/>
      <c r="K70" s="276"/>
      <c r="L70" s="652"/>
    </row>
    <row r="71" spans="2:15" s="279" customFormat="1" ht="15">
      <c r="C71" s="276"/>
      <c r="D71" s="276"/>
      <c r="E71" s="276"/>
      <c r="F71" s="276"/>
      <c r="G71" s="276"/>
      <c r="H71" s="276"/>
      <c r="I71" s="276"/>
      <c r="J71" s="276"/>
      <c r="K71" s="276"/>
      <c r="L71" s="652"/>
    </row>
    <row r="72" spans="2:15">
      <c r="L72" s="653" t="e">
        <f>Overhang!$K$70</f>
        <v>#N/A</v>
      </c>
    </row>
    <row r="75" spans="2:15">
      <c r="F75" s="654" t="e">
        <f>设计主界面!E39</f>
        <v>#N/A</v>
      </c>
    </row>
    <row r="76" spans="2:15" ht="13.5" thickBot="1"/>
    <row r="77" spans="2:15" s="279" customFormat="1" ht="18" thickTop="1" thickBot="1">
      <c r="C77" s="21"/>
      <c r="D77" s="21"/>
      <c r="E77" s="21"/>
      <c r="F77" s="21"/>
      <c r="G77" s="21"/>
      <c r="H77" s="21"/>
      <c r="I77" s="21"/>
      <c r="J77" s="20"/>
      <c r="K77" s="1292" t="s">
        <v>93</v>
      </c>
      <c r="L77" s="1293"/>
      <c r="M77" s="1294"/>
      <c r="N77" s="280"/>
      <c r="O77" s="281"/>
    </row>
    <row r="78" spans="2:15" s="279" customFormat="1" ht="16.5">
      <c r="C78" s="1281" t="s">
        <v>92</v>
      </c>
      <c r="D78" s="1283" t="s">
        <v>91</v>
      </c>
      <c r="E78" s="1285" t="s">
        <v>90</v>
      </c>
      <c r="F78" s="1285" t="s">
        <v>89</v>
      </c>
      <c r="G78" s="1287" t="s">
        <v>88</v>
      </c>
      <c r="H78" s="1288"/>
      <c r="I78" s="1289"/>
      <c r="J78" s="25" t="s">
        <v>87</v>
      </c>
      <c r="K78" s="26" t="s">
        <v>87</v>
      </c>
      <c r="L78" s="1279" t="s">
        <v>86</v>
      </c>
      <c r="M78" s="1295" t="s">
        <v>85</v>
      </c>
      <c r="N78" s="280"/>
      <c r="O78" s="281"/>
    </row>
    <row r="79" spans="2:15" s="279" customFormat="1" ht="17.25" thickBot="1">
      <c r="C79" s="1282"/>
      <c r="D79" s="1284"/>
      <c r="E79" s="1286"/>
      <c r="F79" s="1286"/>
      <c r="G79" s="27" t="s">
        <v>84</v>
      </c>
      <c r="H79" s="78" t="s">
        <v>83</v>
      </c>
      <c r="I79" s="27" t="s">
        <v>82</v>
      </c>
      <c r="J79" s="28" t="s">
        <v>81</v>
      </c>
      <c r="K79" s="29" t="s">
        <v>80</v>
      </c>
      <c r="L79" s="1280"/>
      <c r="M79" s="1296"/>
      <c r="N79" s="280"/>
      <c r="O79" s="281"/>
    </row>
    <row r="80" spans="2:15" s="279" customFormat="1" ht="16.5">
      <c r="C80" s="675" t="s">
        <v>95</v>
      </c>
      <c r="D80" s="667"/>
      <c r="E80" s="1024"/>
      <c r="F80" s="620">
        <f>D80*E80</f>
        <v>0</v>
      </c>
      <c r="G80" s="584" t="e">
        <f>L72</f>
        <v>#N/A</v>
      </c>
      <c r="H80" s="1027"/>
      <c r="I80" s="1030"/>
      <c r="J80" s="592" t="e">
        <f>ABS(F80)*(G80+(I80-H80)/2)</f>
        <v>#N/A</v>
      </c>
      <c r="K80" s="629">
        <f>ABS(F80)*(I80+H80)/2</f>
        <v>0</v>
      </c>
      <c r="L80" s="594" t="e">
        <f>J80-K80</f>
        <v>#N/A</v>
      </c>
      <c r="M80" s="630" t="e">
        <f>J80+K80</f>
        <v>#N/A</v>
      </c>
      <c r="N80" s="280"/>
      <c r="O80" s="281"/>
    </row>
    <row r="81" spans="3:15" ht="16.5">
      <c r="C81" s="676" t="s">
        <v>169</v>
      </c>
      <c r="D81" s="671"/>
      <c r="E81" s="36"/>
      <c r="F81" s="585">
        <f>D81*E81</f>
        <v>0</v>
      </c>
      <c r="G81" s="621" t="e">
        <f>F75*2</f>
        <v>#N/A</v>
      </c>
      <c r="H81" s="1033"/>
      <c r="I81" s="1029"/>
      <c r="J81" s="596" t="e">
        <f>ABS(F81)*(G81+(I81-H81)/2)</f>
        <v>#N/A</v>
      </c>
      <c r="K81" s="631">
        <f>ABS(F81)*(I81+H81)/2</f>
        <v>0</v>
      </c>
      <c r="L81" s="589" t="e">
        <f>J81-K81</f>
        <v>#N/A</v>
      </c>
      <c r="M81" s="632" t="e">
        <f>J81+K81</f>
        <v>#N/A</v>
      </c>
      <c r="N81" s="280"/>
      <c r="O81" s="281"/>
    </row>
    <row r="82" spans="3:15" ht="16.5">
      <c r="C82" s="677" t="s">
        <v>94</v>
      </c>
      <c r="D82" s="671"/>
      <c r="E82" s="36"/>
      <c r="F82" s="585">
        <f>D82*E82</f>
        <v>0</v>
      </c>
      <c r="G82" s="621" t="e">
        <f>设计主界面!I19</f>
        <v>#N/A</v>
      </c>
      <c r="H82" s="1033"/>
      <c r="I82" s="1029"/>
      <c r="J82" s="596" t="e">
        <f>ABS(F82)*(G82+(I82-H82)/2)</f>
        <v>#N/A</v>
      </c>
      <c r="K82" s="631">
        <f>ABS(F82)*(I82+H82)/2</f>
        <v>0</v>
      </c>
      <c r="L82" s="589" t="e">
        <f>J82-K82</f>
        <v>#N/A</v>
      </c>
      <c r="M82" s="632" t="e">
        <f>J82+K82</f>
        <v>#N/A</v>
      </c>
      <c r="N82" s="280"/>
      <c r="O82" s="281"/>
    </row>
    <row r="83" spans="3:15" ht="16.5">
      <c r="C83" s="676" t="s">
        <v>170</v>
      </c>
      <c r="D83" s="671"/>
      <c r="E83" s="36"/>
      <c r="F83" s="585">
        <f t="shared" ref="F83:F89" si="5">D83*E83</f>
        <v>0</v>
      </c>
      <c r="G83" s="621" t="e">
        <f>L72</f>
        <v>#N/A</v>
      </c>
      <c r="H83" s="1033"/>
      <c r="I83" s="1029"/>
      <c r="J83" s="596" t="e">
        <f t="shared" ref="J83:J89" si="6">ABS(F83)*(G83+(I83-H83)/2)</f>
        <v>#N/A</v>
      </c>
      <c r="K83" s="631">
        <f t="shared" ref="K83:K89" si="7">ABS(F83)*(I83+H83)/2</f>
        <v>0</v>
      </c>
      <c r="L83" s="589" t="e">
        <f t="shared" ref="L83:L89" si="8">J83-K83</f>
        <v>#N/A</v>
      </c>
      <c r="M83" s="632" t="e">
        <f t="shared" ref="M83:M89" si="9">J83+K83</f>
        <v>#N/A</v>
      </c>
      <c r="N83" s="280"/>
      <c r="O83" s="298"/>
    </row>
    <row r="84" spans="3:15" ht="16.5">
      <c r="C84" s="676" t="s">
        <v>171</v>
      </c>
      <c r="D84" s="671"/>
      <c r="E84" s="36"/>
      <c r="F84" s="585">
        <f t="shared" si="5"/>
        <v>0</v>
      </c>
      <c r="G84" s="621" t="e">
        <f>F75</f>
        <v>#N/A</v>
      </c>
      <c r="H84" s="1033"/>
      <c r="I84" s="1029"/>
      <c r="J84" s="596" t="e">
        <f t="shared" si="6"/>
        <v>#N/A</v>
      </c>
      <c r="K84" s="631">
        <f t="shared" si="7"/>
        <v>0</v>
      </c>
      <c r="L84" s="589" t="e">
        <f t="shared" si="8"/>
        <v>#N/A</v>
      </c>
      <c r="M84" s="632" t="e">
        <f t="shared" si="9"/>
        <v>#N/A</v>
      </c>
      <c r="N84" s="280"/>
      <c r="O84" s="298"/>
    </row>
    <row r="85" spans="3:15" ht="16.5">
      <c r="C85" s="676" t="s">
        <v>172</v>
      </c>
      <c r="D85" s="671"/>
      <c r="E85" s="36"/>
      <c r="F85" s="585">
        <f t="shared" si="5"/>
        <v>0</v>
      </c>
      <c r="G85" s="621" t="e">
        <f>材料数据库!F94</f>
        <v>#N/A</v>
      </c>
      <c r="H85" s="1033"/>
      <c r="I85" s="1029"/>
      <c r="J85" s="596" t="e">
        <f t="shared" si="6"/>
        <v>#N/A</v>
      </c>
      <c r="K85" s="631">
        <f t="shared" si="7"/>
        <v>0</v>
      </c>
      <c r="L85" s="589" t="e">
        <f t="shared" si="8"/>
        <v>#N/A</v>
      </c>
      <c r="M85" s="632" t="e">
        <f t="shared" si="9"/>
        <v>#N/A</v>
      </c>
      <c r="N85" s="280"/>
      <c r="O85" s="298"/>
    </row>
    <row r="86" spans="3:15" ht="16.5">
      <c r="C86" s="676" t="s">
        <v>173</v>
      </c>
      <c r="D86" s="671"/>
      <c r="E86" s="36"/>
      <c r="F86" s="585">
        <f t="shared" si="5"/>
        <v>0</v>
      </c>
      <c r="G86" s="621">
        <f>(极耳错位!D62+极耳错位!E62)*L69/2</f>
        <v>0</v>
      </c>
      <c r="H86" s="1033"/>
      <c r="I86" s="1029"/>
      <c r="J86" s="596">
        <f t="shared" si="6"/>
        <v>0</v>
      </c>
      <c r="K86" s="631">
        <f t="shared" si="7"/>
        <v>0</v>
      </c>
      <c r="L86" s="589">
        <f t="shared" si="8"/>
        <v>0</v>
      </c>
      <c r="M86" s="632">
        <f t="shared" si="9"/>
        <v>0</v>
      </c>
      <c r="N86" s="280"/>
      <c r="O86" s="298"/>
    </row>
    <row r="87" spans="3:15" ht="16.5">
      <c r="C87" s="676" t="s">
        <v>174</v>
      </c>
      <c r="D87" s="671"/>
      <c r="E87" s="36"/>
      <c r="F87" s="585">
        <f t="shared" si="5"/>
        <v>0</v>
      </c>
      <c r="G87" s="621">
        <f>IF(设计主界面!P15="一层一个",模切尺寸!K49,模切尺寸!C49)</f>
        <v>-1</v>
      </c>
      <c r="H87" s="1033"/>
      <c r="I87" s="1029"/>
      <c r="J87" s="596">
        <f t="shared" si="6"/>
        <v>0</v>
      </c>
      <c r="K87" s="631">
        <f t="shared" si="7"/>
        <v>0</v>
      </c>
      <c r="L87" s="589">
        <f t="shared" si="8"/>
        <v>0</v>
      </c>
      <c r="M87" s="632">
        <f t="shared" si="9"/>
        <v>0</v>
      </c>
      <c r="N87" s="280"/>
      <c r="O87" s="298"/>
    </row>
    <row r="88" spans="3:15" ht="16.5">
      <c r="C88" s="676" t="s">
        <v>175</v>
      </c>
      <c r="D88" s="671"/>
      <c r="E88" s="36"/>
      <c r="F88" s="585">
        <f t="shared" si="5"/>
        <v>0</v>
      </c>
      <c r="G88" s="621" t="e">
        <f>材料数据库!F94</f>
        <v>#N/A</v>
      </c>
      <c r="H88" s="1033"/>
      <c r="I88" s="1029"/>
      <c r="J88" s="596" t="e">
        <f t="shared" si="6"/>
        <v>#N/A</v>
      </c>
      <c r="K88" s="631">
        <f t="shared" si="7"/>
        <v>0</v>
      </c>
      <c r="L88" s="589" t="e">
        <f t="shared" si="8"/>
        <v>#N/A</v>
      </c>
      <c r="M88" s="632" t="e">
        <f t="shared" si="9"/>
        <v>#N/A</v>
      </c>
      <c r="N88" s="280"/>
      <c r="O88" s="298"/>
    </row>
    <row r="89" spans="3:15" ht="16.5">
      <c r="C89" s="676" t="s">
        <v>176</v>
      </c>
      <c r="D89" s="671"/>
      <c r="E89" s="36"/>
      <c r="F89" s="585">
        <f t="shared" si="5"/>
        <v>0</v>
      </c>
      <c r="G89" s="621">
        <f>G57</f>
        <v>0</v>
      </c>
      <c r="H89" s="1033"/>
      <c r="I89" s="1029"/>
      <c r="J89" s="596">
        <f t="shared" si="6"/>
        <v>0</v>
      </c>
      <c r="K89" s="631">
        <f t="shared" si="7"/>
        <v>0</v>
      </c>
      <c r="L89" s="589">
        <f t="shared" si="8"/>
        <v>0</v>
      </c>
      <c r="M89" s="632">
        <f t="shared" si="9"/>
        <v>0</v>
      </c>
      <c r="N89" s="280"/>
      <c r="O89" s="298"/>
    </row>
    <row r="90" spans="3:15" ht="16.5">
      <c r="C90" s="676"/>
      <c r="D90" s="671"/>
      <c r="E90" s="36"/>
      <c r="F90" s="622"/>
      <c r="G90" s="624"/>
      <c r="H90" s="1034"/>
      <c r="I90" s="1035"/>
      <c r="J90" s="637"/>
      <c r="K90" s="640"/>
      <c r="L90" s="638"/>
      <c r="M90" s="639"/>
      <c r="N90" s="280"/>
      <c r="O90" s="298"/>
    </row>
    <row r="91" spans="3:15" ht="17.25" thickBot="1">
      <c r="C91" s="679"/>
      <c r="D91" s="673"/>
      <c r="E91" s="283"/>
      <c r="F91" s="587"/>
      <c r="G91" s="588"/>
      <c r="H91" s="1036"/>
      <c r="I91" s="1037"/>
      <c r="J91" s="600"/>
      <c r="K91" s="641"/>
      <c r="L91" s="602"/>
      <c r="M91" s="642"/>
      <c r="N91" s="280"/>
      <c r="O91" s="281"/>
    </row>
    <row r="92" spans="3:15" ht="16.5">
      <c r="C92" s="19"/>
      <c r="D92" s="19"/>
      <c r="E92" s="23"/>
      <c r="F92" s="299" t="s">
        <v>178</v>
      </c>
      <c r="G92" s="625" t="e">
        <f>G89*G80*G81*G82/1540.25</f>
        <v>#N/A</v>
      </c>
      <c r="H92" s="655"/>
      <c r="I92" s="284"/>
      <c r="J92" s="643"/>
      <c r="K92" s="300"/>
      <c r="L92" s="644" t="e">
        <f>L89*L80*L81*L82/1540.25</f>
        <v>#N/A</v>
      </c>
      <c r="M92" s="645" t="e">
        <f>M89*M80*M81*M82/1540.25</f>
        <v>#N/A</v>
      </c>
      <c r="N92" s="280"/>
      <c r="O92" s="281"/>
    </row>
    <row r="93" spans="3:15" ht="16.5">
      <c r="C93" s="19"/>
      <c r="D93" s="19"/>
      <c r="E93" s="22"/>
      <c r="F93" s="301" t="s">
        <v>179</v>
      </c>
      <c r="G93" s="626" t="e">
        <f>G89*G83*G84*G85/1540.25</f>
        <v>#N/A</v>
      </c>
      <c r="H93" s="655"/>
      <c r="I93" s="284"/>
      <c r="J93" s="643"/>
      <c r="K93" s="302"/>
      <c r="L93" s="646" t="e">
        <f>L89*L83*L84*L85/1540.25</f>
        <v>#N/A</v>
      </c>
      <c r="M93" s="647" t="e">
        <f>M89*M83*M84*M85/1540.25</f>
        <v>#N/A</v>
      </c>
      <c r="N93" s="303"/>
      <c r="O93" s="281"/>
    </row>
    <row r="94" spans="3:15" ht="16.5">
      <c r="C94" s="19"/>
      <c r="D94" s="19"/>
      <c r="E94" s="31"/>
      <c r="F94" s="306" t="s">
        <v>177</v>
      </c>
      <c r="G94" s="627" t="e">
        <f>G89*G86*G87*G88/1540.25</f>
        <v>#N/A</v>
      </c>
      <c r="H94" s="655"/>
      <c r="I94" s="284"/>
      <c r="J94" s="643"/>
      <c r="K94" s="305"/>
      <c r="L94" s="648" t="e">
        <f>L89*L86*L87*L88/1540.25</f>
        <v>#N/A</v>
      </c>
      <c r="M94" s="649" t="e">
        <f>M89*M86*M87*M88/1540.25</f>
        <v>#N/A</v>
      </c>
      <c r="N94" s="303"/>
      <c r="O94" s="281"/>
    </row>
    <row r="95" spans="3:15" ht="17.25" thickBot="1">
      <c r="C95" s="16"/>
      <c r="D95" s="17" t="s">
        <v>76</v>
      </c>
      <c r="E95" s="1290" t="s">
        <v>75</v>
      </c>
      <c r="F95" s="1291"/>
      <c r="G95" s="628" t="e">
        <f>G92+G93+G94</f>
        <v>#N/A</v>
      </c>
      <c r="H95" s="656"/>
      <c r="I95" s="284"/>
      <c r="J95" s="643"/>
      <c r="K95" s="30"/>
      <c r="L95" s="650" t="e">
        <f>L92+L93</f>
        <v>#N/A</v>
      </c>
      <c r="M95" s="651" t="e">
        <f>M92+M93</f>
        <v>#N/A</v>
      </c>
      <c r="N95" s="303"/>
      <c r="O95" s="281"/>
    </row>
    <row r="96" spans="3:15" ht="13.5" thickTop="1">
      <c r="J96" s="275"/>
      <c r="K96" s="275"/>
      <c r="L96" s="275"/>
      <c r="M96" s="275"/>
    </row>
    <row r="97" spans="2:15" ht="15">
      <c r="B97" s="296" t="s">
        <v>196</v>
      </c>
    </row>
    <row r="102" spans="2:15">
      <c r="L102" s="275"/>
      <c r="M102" s="657" t="e">
        <f>设计主界面!D41</f>
        <v>#N/A</v>
      </c>
    </row>
    <row r="106" spans="2:15" ht="8.25" customHeight="1"/>
    <row r="107" spans="2:15">
      <c r="G107" s="780" t="e">
        <f>设计主界面!E41</f>
        <v>#N/A</v>
      </c>
    </row>
    <row r="109" spans="2:15" s="279" customFormat="1" ht="15.75" thickBot="1">
      <c r="C109" s="276"/>
      <c r="D109" s="276"/>
      <c r="E109" s="276"/>
      <c r="F109" s="276"/>
      <c r="G109" s="276"/>
      <c r="H109" s="276"/>
      <c r="I109" s="276"/>
      <c r="J109" s="276"/>
      <c r="K109" s="276"/>
      <c r="L109" s="276"/>
    </row>
    <row r="110" spans="2:15" s="279" customFormat="1" ht="18" thickTop="1" thickBot="1">
      <c r="C110" s="21"/>
      <c r="D110" s="21"/>
      <c r="E110" s="21"/>
      <c r="F110" s="21"/>
      <c r="G110" s="21"/>
      <c r="H110" s="21"/>
      <c r="I110" s="21"/>
      <c r="J110" s="20"/>
      <c r="K110" s="1276" t="s">
        <v>93</v>
      </c>
      <c r="L110" s="1277"/>
      <c r="M110" s="1278"/>
      <c r="N110" s="280"/>
      <c r="O110" s="281"/>
    </row>
    <row r="111" spans="2:15" s="279" customFormat="1" ht="16.5">
      <c r="C111" s="1281" t="s">
        <v>92</v>
      </c>
      <c r="D111" s="1283" t="s">
        <v>91</v>
      </c>
      <c r="E111" s="1285" t="s">
        <v>90</v>
      </c>
      <c r="F111" s="1285" t="s">
        <v>89</v>
      </c>
      <c r="G111" s="1287" t="s">
        <v>88</v>
      </c>
      <c r="H111" s="1288"/>
      <c r="I111" s="1289"/>
      <c r="J111" s="25" t="s">
        <v>87</v>
      </c>
      <c r="K111" s="33" t="s">
        <v>87</v>
      </c>
      <c r="L111" s="1279" t="s">
        <v>86</v>
      </c>
      <c r="M111" s="1272" t="s">
        <v>85</v>
      </c>
      <c r="N111" s="280"/>
      <c r="O111" s="281"/>
    </row>
    <row r="112" spans="2:15" s="279" customFormat="1" ht="17.25" thickBot="1">
      <c r="C112" s="1282"/>
      <c r="D112" s="1284"/>
      <c r="E112" s="1286"/>
      <c r="F112" s="1286"/>
      <c r="G112" s="27" t="s">
        <v>84</v>
      </c>
      <c r="H112" s="78" t="s">
        <v>83</v>
      </c>
      <c r="I112" s="27" t="s">
        <v>82</v>
      </c>
      <c r="J112" s="28" t="s">
        <v>81</v>
      </c>
      <c r="K112" s="34" t="s">
        <v>80</v>
      </c>
      <c r="L112" s="1280"/>
      <c r="M112" s="1273"/>
      <c r="N112" s="280"/>
      <c r="O112" s="281"/>
    </row>
    <row r="113" spans="3:15" s="279" customFormat="1" ht="17.25" thickBot="1">
      <c r="C113" s="675" t="s">
        <v>79</v>
      </c>
      <c r="D113" s="667"/>
      <c r="E113" s="1024"/>
      <c r="F113" s="620">
        <f>D113*E113</f>
        <v>0</v>
      </c>
      <c r="G113" s="584" t="e">
        <f>M102</f>
        <v>#N/A</v>
      </c>
      <c r="H113" s="1027"/>
      <c r="I113" s="1030"/>
      <c r="J113" s="592" t="e">
        <f>ABS(F113)*(G113+(I113-H113)/2)</f>
        <v>#N/A</v>
      </c>
      <c r="K113" s="593">
        <f>ABS(F113)*(I113+H113)/2</f>
        <v>0</v>
      </c>
      <c r="L113" s="594" t="e">
        <f>J113-K113</f>
        <v>#N/A</v>
      </c>
      <c r="M113" s="595" t="e">
        <f>J113+K113</f>
        <v>#N/A</v>
      </c>
      <c r="N113" s="280"/>
      <c r="O113" s="281"/>
    </row>
    <row r="114" spans="3:15" s="279" customFormat="1" ht="16.5">
      <c r="C114" s="676" t="s">
        <v>78</v>
      </c>
      <c r="D114" s="669"/>
      <c r="E114" s="1038"/>
      <c r="F114" s="1000">
        <f>D114*E114</f>
        <v>0</v>
      </c>
      <c r="G114" s="586" t="e">
        <f>G107</f>
        <v>#N/A</v>
      </c>
      <c r="H114" s="1025"/>
      <c r="I114" s="1039"/>
      <c r="J114" s="633" t="e">
        <f>ABS(F114)*(G114+(I114-H114)/2)</f>
        <v>#N/A</v>
      </c>
      <c r="K114" s="597">
        <f>ABS(F114)*(I114+H114)/2</f>
        <v>0</v>
      </c>
      <c r="L114" s="598" t="e">
        <f>J114-K114</f>
        <v>#N/A</v>
      </c>
      <c r="M114" s="599" t="e">
        <f>J114+K114</f>
        <v>#N/A</v>
      </c>
      <c r="N114" s="280"/>
      <c r="O114" s="281"/>
    </row>
    <row r="115" spans="3:15" ht="16.5">
      <c r="C115" s="676" t="s">
        <v>77</v>
      </c>
      <c r="D115" s="671"/>
      <c r="E115" s="36"/>
      <c r="F115" s="585">
        <f>D115*E115</f>
        <v>0</v>
      </c>
      <c r="G115" s="621" t="e">
        <f>VLOOKUP(设计主界面!C24,材料数据库!C45:K67,9,FALSE)</f>
        <v>#N/A</v>
      </c>
      <c r="H115" s="1033"/>
      <c r="I115" s="1029"/>
      <c r="J115" s="596" t="e">
        <f>ABS(F115)*(G115+(I115-H115)/2)</f>
        <v>#N/A</v>
      </c>
      <c r="K115" s="659">
        <f>ABS(F115)*(I115+H115)/2</f>
        <v>0</v>
      </c>
      <c r="L115" s="589" t="e">
        <f>J115-K115</f>
        <v>#N/A</v>
      </c>
      <c r="M115" s="660" t="e">
        <f>J115+K115</f>
        <v>#N/A</v>
      </c>
      <c r="N115" s="280"/>
      <c r="O115" s="281"/>
    </row>
    <row r="116" spans="3:15" ht="16.5">
      <c r="C116" s="676" t="s">
        <v>176</v>
      </c>
      <c r="D116" s="671"/>
      <c r="E116" s="36"/>
      <c r="F116" s="585">
        <f>D116*E116</f>
        <v>0</v>
      </c>
      <c r="G116" s="621">
        <f>G89</f>
        <v>0</v>
      </c>
      <c r="H116" s="1033"/>
      <c r="I116" s="1029"/>
      <c r="J116" s="596">
        <f>ABS(F116)*(G116+(I116-H116)/2)</f>
        <v>0</v>
      </c>
      <c r="K116" s="659">
        <f>ABS(F116)*(I116+H116)/2</f>
        <v>0</v>
      </c>
      <c r="L116" s="589">
        <f>J116-K116</f>
        <v>0</v>
      </c>
      <c r="M116" s="660">
        <f>J116+K116</f>
        <v>0</v>
      </c>
      <c r="N116" s="280"/>
      <c r="O116" s="281"/>
    </row>
    <row r="117" spans="3:15" ht="16.5">
      <c r="C117" s="676" t="s">
        <v>908</v>
      </c>
      <c r="D117" s="671"/>
      <c r="E117" s="36"/>
      <c r="F117" s="622">
        <f>D117*E117</f>
        <v>0</v>
      </c>
      <c r="G117" s="623" t="e">
        <f>(BOM!N27+BOM!N28)*1000</f>
        <v>#N/A</v>
      </c>
      <c r="H117" s="1033"/>
      <c r="I117" s="1029"/>
      <c r="J117" s="596" t="e">
        <f>ABS(F117)*(G117+(I117-H117)/2)</f>
        <v>#N/A</v>
      </c>
      <c r="K117" s="659">
        <f>ABS(F117)*(I117+H117)/2</f>
        <v>0</v>
      </c>
      <c r="L117" s="589" t="e">
        <f>J117-K117</f>
        <v>#N/A</v>
      </c>
      <c r="M117" s="660" t="e">
        <f>J117+K117</f>
        <v>#N/A</v>
      </c>
      <c r="N117" s="280"/>
      <c r="O117" s="281"/>
    </row>
    <row r="118" spans="3:15" ht="16.5">
      <c r="C118" s="676"/>
      <c r="D118" s="671"/>
      <c r="E118" s="36"/>
      <c r="F118" s="622"/>
      <c r="G118" s="623"/>
      <c r="H118" s="1033"/>
      <c r="I118" s="1029"/>
      <c r="J118" s="637"/>
      <c r="K118" s="661"/>
      <c r="L118" s="638"/>
      <c r="M118" s="662"/>
      <c r="N118" s="280"/>
      <c r="O118" s="281"/>
    </row>
    <row r="119" spans="3:15" ht="16.5">
      <c r="C119" s="676"/>
      <c r="D119" s="671"/>
      <c r="E119" s="36"/>
      <c r="F119" s="622"/>
      <c r="G119" s="623"/>
      <c r="H119" s="1033"/>
      <c r="I119" s="1029"/>
      <c r="J119" s="637"/>
      <c r="K119" s="661"/>
      <c r="L119" s="638"/>
      <c r="M119" s="662"/>
      <c r="N119" s="280"/>
      <c r="O119" s="281"/>
    </row>
    <row r="120" spans="3:15" ht="16.5">
      <c r="C120" s="676"/>
      <c r="D120" s="671"/>
      <c r="E120" s="36"/>
      <c r="F120" s="622"/>
      <c r="G120" s="624"/>
      <c r="H120" s="1034"/>
      <c r="I120" s="1035"/>
      <c r="J120" s="637"/>
      <c r="K120" s="663"/>
      <c r="L120" s="638"/>
      <c r="M120" s="662"/>
      <c r="N120" s="280"/>
      <c r="O120" s="281"/>
    </row>
    <row r="121" spans="3:15" ht="17.25" thickBot="1">
      <c r="C121" s="679"/>
      <c r="D121" s="673"/>
      <c r="E121" s="283"/>
      <c r="F121" s="587"/>
      <c r="G121" s="588"/>
      <c r="H121" s="1036"/>
      <c r="I121" s="1037"/>
      <c r="J121" s="600"/>
      <c r="K121" s="601"/>
      <c r="L121" s="602"/>
      <c r="M121" s="603"/>
      <c r="N121" s="280"/>
      <c r="O121" s="281"/>
    </row>
    <row r="122" spans="3:15" ht="18" thickTop="1" thickBot="1">
      <c r="C122" s="19"/>
      <c r="D122" s="19" t="s">
        <v>180</v>
      </c>
      <c r="E122" s="1274" t="s">
        <v>75</v>
      </c>
      <c r="F122" s="1275"/>
      <c r="G122" s="658" t="e">
        <f>G116*G113*G114*G115/1540.25+G117</f>
        <v>#N/A</v>
      </c>
      <c r="H122" s="18"/>
      <c r="I122" s="284"/>
      <c r="J122" s="604"/>
      <c r="K122" s="664"/>
      <c r="L122" s="606" t="e">
        <f>L116*L113*L114*L115/1540.25+L117</f>
        <v>#N/A</v>
      </c>
      <c r="M122" s="665" t="e">
        <f>M116*M113*M114*M115/1540.25+M117</f>
        <v>#N/A</v>
      </c>
      <c r="N122" s="280"/>
      <c r="O122" s="281"/>
    </row>
    <row r="123" spans="3:15" ht="17.25" thickTop="1">
      <c r="C123" s="16"/>
      <c r="D123" s="17"/>
      <c r="H123" s="16"/>
      <c r="I123" s="284"/>
      <c r="J123" s="286"/>
      <c r="K123" s="15"/>
      <c r="L123" s="14"/>
      <c r="M123" s="284"/>
      <c r="N123" s="280"/>
      <c r="O123" s="281"/>
    </row>
    <row r="126" spans="3:15" ht="14.25">
      <c r="D126" s="307"/>
      <c r="F126" s="307"/>
      <c r="G126" s="307"/>
      <c r="H126" s="307"/>
      <c r="I126" s="307"/>
      <c r="J126" s="307"/>
    </row>
  </sheetData>
  <sheetProtection algorithmName="SHA-512" hashValue="nX1AvCQ9as+F8jZcOvKh4mmYqR3a3Zmk7OtJ3UihB4mvLb5GjtdDFu8parotYgh8ln0r8zJNpuajBLyFKSRcvg==" saltValue="AIIcirptSZZ2qkiCJ0Tdqw==" spinCount="100000" sheet="1" objects="1" scenarios="1" formatCells="0" formatColumns="0" formatRows="0" insertColumns="0" insertRows="0" insertHyperlinks="0" deleteColumns="0" deleteRows="0" sort="0" autoFilter="0" pivotTables="0"/>
  <mergeCells count="42">
    <mergeCell ref="E19:F19"/>
    <mergeCell ref="C6:C7"/>
    <mergeCell ref="K12:M12"/>
    <mergeCell ref="O12:Q12"/>
    <mergeCell ref="C13:C14"/>
    <mergeCell ref="D13:D14"/>
    <mergeCell ref="E13:E14"/>
    <mergeCell ref="F13:F14"/>
    <mergeCell ref="G13:I13"/>
    <mergeCell ref="L13:L14"/>
    <mergeCell ref="M13:M14"/>
    <mergeCell ref="N13:N14"/>
    <mergeCell ref="O13:Q13"/>
    <mergeCell ref="E27:F27"/>
    <mergeCell ref="C27:D27"/>
    <mergeCell ref="K77:M77"/>
    <mergeCell ref="C78:C79"/>
    <mergeCell ref="D78:D79"/>
    <mergeCell ref="E78:E79"/>
    <mergeCell ref="F78:F79"/>
    <mergeCell ref="G78:I78"/>
    <mergeCell ref="L78:L79"/>
    <mergeCell ref="M78:M79"/>
    <mergeCell ref="E95:F95"/>
    <mergeCell ref="K45:M45"/>
    <mergeCell ref="C46:C47"/>
    <mergeCell ref="D46:D47"/>
    <mergeCell ref="E46:E47"/>
    <mergeCell ref="F46:F47"/>
    <mergeCell ref="G46:I46"/>
    <mergeCell ref="L46:L47"/>
    <mergeCell ref="M46:M47"/>
    <mergeCell ref="E64:F64"/>
    <mergeCell ref="M111:M112"/>
    <mergeCell ref="E122:F122"/>
    <mergeCell ref="K110:M110"/>
    <mergeCell ref="L111:L112"/>
    <mergeCell ref="C111:C112"/>
    <mergeCell ref="D111:D112"/>
    <mergeCell ref="E111:E112"/>
    <mergeCell ref="F111:F112"/>
    <mergeCell ref="G111:I111"/>
  </mergeCells>
  <phoneticPr fontId="6" type="noConversion"/>
  <pageMargins left="0.75" right="0.75" top="1" bottom="1" header="0.5" footer="0.5"/>
  <pageSetup paperSize="9" orientation="portrait" r:id="rId1"/>
  <headerFooter alignWithMargins="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E17"/>
  <sheetViews>
    <sheetView workbookViewId="0">
      <pane ySplit="3" topLeftCell="A4" activePane="bottomLeft" state="frozen"/>
      <selection pane="bottomLeft" activeCell="C13" sqref="C13"/>
    </sheetView>
  </sheetViews>
  <sheetFormatPr defaultColWidth="9" defaultRowHeight="15"/>
  <cols>
    <col min="1" max="1" width="2.75" style="1" customWidth="1" collapsed="1"/>
    <col min="2" max="2" width="9" style="1" collapsed="1"/>
    <col min="3" max="3" width="72.625" style="1" customWidth="1" collapsed="1"/>
    <col min="4" max="4" width="9.25" style="1" customWidth="1" collapsed="1"/>
    <col min="5" max="5" width="24.25" style="1" customWidth="1" collapsed="1"/>
    <col min="6" max="16384" width="9" style="1" collapsed="1"/>
  </cols>
  <sheetData>
    <row r="2" spans="2:5">
      <c r="B2" s="1050" t="s">
        <v>307</v>
      </c>
      <c r="C2" s="1050"/>
      <c r="D2" s="1050"/>
      <c r="E2" s="1050"/>
    </row>
    <row r="3" spans="2:5">
      <c r="B3" s="73" t="s">
        <v>308</v>
      </c>
      <c r="C3" s="11" t="s">
        <v>309</v>
      </c>
      <c r="D3" s="11" t="s">
        <v>310</v>
      </c>
      <c r="E3" s="11" t="s">
        <v>311</v>
      </c>
    </row>
    <row r="4" spans="2:5">
      <c r="B4" s="74" t="s">
        <v>312</v>
      </c>
      <c r="C4" s="985" t="s">
        <v>900</v>
      </c>
      <c r="D4" s="75">
        <v>42879</v>
      </c>
      <c r="E4" s="76" t="s">
        <v>320</v>
      </c>
    </row>
    <row r="5" spans="2:5" ht="75">
      <c r="B5" s="74" t="s">
        <v>911</v>
      </c>
      <c r="C5" s="77" t="s">
        <v>916</v>
      </c>
      <c r="D5" s="75">
        <v>42908</v>
      </c>
      <c r="E5" s="76" t="s">
        <v>910</v>
      </c>
    </row>
    <row r="6" spans="2:5" ht="30">
      <c r="B6" s="74" t="s">
        <v>924</v>
      </c>
      <c r="C6" s="77" t="s">
        <v>926</v>
      </c>
      <c r="D6" s="75">
        <v>43020</v>
      </c>
      <c r="E6" s="76" t="s">
        <v>925</v>
      </c>
    </row>
    <row r="7" spans="2:5">
      <c r="B7" s="74"/>
      <c r="C7" s="77"/>
      <c r="D7" s="75"/>
      <c r="E7" s="76"/>
    </row>
    <row r="8" spans="2:5">
      <c r="B8" s="74"/>
      <c r="C8" s="77"/>
      <c r="D8" s="75"/>
      <c r="E8" s="76"/>
    </row>
    <row r="9" spans="2:5">
      <c r="B9" s="42"/>
      <c r="C9" s="77"/>
      <c r="D9" s="308"/>
      <c r="E9" s="407"/>
    </row>
    <row r="10" spans="2:5">
      <c r="B10" s="42"/>
      <c r="C10" s="468"/>
      <c r="D10" s="469"/>
      <c r="E10" s="470"/>
    </row>
    <row r="11" spans="2:5">
      <c r="B11" s="42"/>
      <c r="C11" s="468"/>
      <c r="D11" s="469"/>
      <c r="E11" s="470"/>
    </row>
    <row r="12" spans="2:5">
      <c r="B12" s="42"/>
      <c r="C12" s="407"/>
      <c r="D12" s="469"/>
      <c r="E12" s="470"/>
    </row>
    <row r="13" spans="2:5">
      <c r="B13" s="2"/>
      <c r="C13" s="2"/>
      <c r="D13" s="2"/>
      <c r="E13" s="2"/>
    </row>
    <row r="14" spans="2:5">
      <c r="B14" s="2"/>
      <c r="C14" s="2"/>
      <c r="D14" s="2"/>
      <c r="E14" s="2"/>
    </row>
    <row r="15" spans="2:5">
      <c r="B15" s="2"/>
      <c r="C15" s="2"/>
      <c r="D15" s="2"/>
      <c r="E15" s="2"/>
    </row>
    <row r="16" spans="2:5">
      <c r="B16" s="2"/>
      <c r="C16" s="2"/>
      <c r="D16" s="2"/>
      <c r="E16" s="2"/>
    </row>
    <row r="17" spans="2:5">
      <c r="B17" s="2"/>
      <c r="C17" s="2"/>
      <c r="D17" s="2"/>
      <c r="E17" s="2"/>
    </row>
  </sheetData>
  <sheetProtection algorithmName="SHA-512" hashValue="Et8H/vMYzT/KvOGhHRY2KO0o3Bxx5gYrU3KPBoT/voWsNNxi1Hk5u2R6rdfmB+aoTK5AzaWId/3ZlT0wd7m3EA==" saltValue="3AwCrpbW5+EkYbJle98K5w==" spinCount="100000" sheet="1" objects="1" scenarios="1"/>
  <mergeCells count="1">
    <mergeCell ref="B2:E2"/>
  </mergeCells>
  <phoneticPr fontId="6" type="noConversion"/>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66"/>
  <sheetViews>
    <sheetView showGridLines="0" topLeftCell="A53" zoomScaleNormal="100" workbookViewId="0">
      <selection activeCell="F45" sqref="F45"/>
    </sheetView>
  </sheetViews>
  <sheetFormatPr defaultColWidth="9" defaultRowHeight="15.75"/>
  <cols>
    <col min="1" max="1" width="3.375" style="169" customWidth="1" collapsed="1"/>
    <col min="2" max="2" width="16.25" style="169" customWidth="1" collapsed="1"/>
    <col min="3" max="3" width="17.875" style="169" customWidth="1" collapsed="1"/>
    <col min="4" max="4" width="13.75" style="169" customWidth="1" collapsed="1"/>
    <col min="5" max="5" width="17.625" style="169" customWidth="1" collapsed="1"/>
    <col min="6" max="6" width="16.25" style="169" customWidth="1" collapsed="1"/>
    <col min="7" max="7" width="16.75" style="169" customWidth="1" collapsed="1"/>
    <col min="8" max="8" width="15" style="169" customWidth="1" collapsed="1"/>
    <col min="9" max="9" width="13.875" style="169" customWidth="1" collapsed="1"/>
    <col min="10" max="16384" width="9" style="169" collapsed="1"/>
  </cols>
  <sheetData>
    <row r="2" spans="2:10" ht="24.75">
      <c r="E2" s="179" t="s">
        <v>262</v>
      </c>
      <c r="I2" s="180"/>
    </row>
    <row r="3" spans="2:10" ht="16.5" thickBot="1">
      <c r="B3" s="181" t="s">
        <v>263</v>
      </c>
    </row>
    <row r="4" spans="2:10" ht="16.5" thickBot="1">
      <c r="B4" s="1055" t="s">
        <v>125</v>
      </c>
      <c r="C4" s="1056"/>
      <c r="D4" s="799" t="s">
        <v>251</v>
      </c>
      <c r="E4" s="182"/>
    </row>
    <row r="5" spans="2:10" ht="17.25" hidden="1" thickTop="1" thickBot="1">
      <c r="B5" s="1059" t="s">
        <v>227</v>
      </c>
      <c r="C5" s="1060"/>
      <c r="D5" s="183"/>
      <c r="E5" s="184"/>
    </row>
    <row r="6" spans="2:10" ht="17.25" thickTop="1" thickBot="1">
      <c r="B6" s="1061" t="s">
        <v>808</v>
      </c>
      <c r="C6" s="1062"/>
      <c r="D6" s="196" t="e">
        <f>设计主界面!C7</f>
        <v>#N/A</v>
      </c>
      <c r="E6" s="184"/>
    </row>
    <row r="7" spans="2:10" ht="16.5" thickBot="1">
      <c r="B7" s="1063" t="s">
        <v>809</v>
      </c>
      <c r="C7" s="1054"/>
      <c r="D7" s="792" t="e">
        <f>设计主界面!F7</f>
        <v>#N/A</v>
      </c>
      <c r="E7" s="184"/>
    </row>
    <row r="8" spans="2:10" ht="16.5" thickBot="1">
      <c r="B8" s="1051" t="s">
        <v>810</v>
      </c>
      <c r="C8" s="1052"/>
      <c r="D8" s="198" t="e">
        <f>设计主界面!C11</f>
        <v>#N/A</v>
      </c>
      <c r="E8" s="184"/>
      <c r="F8" s="185"/>
      <c r="G8" s="185"/>
      <c r="H8" s="185"/>
      <c r="I8" s="185"/>
      <c r="J8" s="185"/>
    </row>
    <row r="9" spans="2:10" ht="16.5" thickBot="1">
      <c r="B9" s="1064" t="s">
        <v>811</v>
      </c>
      <c r="C9" s="1054"/>
      <c r="D9" s="214" t="e">
        <f>设计主界面!D11</f>
        <v>#N/A</v>
      </c>
      <c r="E9" s="186"/>
      <c r="F9" s="187"/>
      <c r="G9" s="187"/>
      <c r="H9" s="187"/>
      <c r="I9" s="187"/>
      <c r="J9" s="187"/>
    </row>
    <row r="10" spans="2:10" ht="16.5" thickBot="1">
      <c r="B10" s="1065" t="s">
        <v>805</v>
      </c>
      <c r="C10" s="1066"/>
      <c r="D10" s="198" t="e">
        <f>设计主界面!E11</f>
        <v>#N/A</v>
      </c>
      <c r="E10" s="182"/>
      <c r="G10" s="173"/>
    </row>
    <row r="11" spans="2:10" ht="16.5" thickBot="1">
      <c r="B11" s="1053" t="s">
        <v>109</v>
      </c>
      <c r="C11" s="1054"/>
      <c r="D11" s="793">
        <f>设计主界面!L15</f>
        <v>0</v>
      </c>
      <c r="E11" s="186"/>
      <c r="F11" s="187"/>
      <c r="G11" s="187"/>
      <c r="H11" s="187"/>
      <c r="I11" s="187"/>
      <c r="J11" s="187"/>
    </row>
    <row r="12" spans="2:10" ht="16.5" thickBot="1">
      <c r="B12" s="1051" t="s">
        <v>252</v>
      </c>
      <c r="C12" s="1052"/>
      <c r="D12" s="206">
        <f>设计主界面!B15</f>
        <v>0</v>
      </c>
      <c r="E12" s="182"/>
    </row>
    <row r="13" spans="2:10" ht="16.5" thickBot="1">
      <c r="B13" s="1053" t="s">
        <v>253</v>
      </c>
      <c r="C13" s="1054"/>
      <c r="D13" s="214" t="e">
        <f>设计主界面!C7*设计主界面!B15</f>
        <v>#N/A</v>
      </c>
      <c r="E13" s="184"/>
    </row>
    <row r="14" spans="2:10" ht="16.5" thickBot="1">
      <c r="B14" s="1051" t="s">
        <v>254</v>
      </c>
      <c r="C14" s="1052"/>
      <c r="D14" s="197" t="e">
        <f>设计主界面!I7</f>
        <v>#N/A</v>
      </c>
      <c r="E14" s="184"/>
    </row>
    <row r="15" spans="2:10" ht="16.5" thickBot="1">
      <c r="B15" s="1053" t="s">
        <v>255</v>
      </c>
      <c r="C15" s="1054"/>
      <c r="D15" s="214" t="e">
        <f>设计主界面!H7</f>
        <v>#N/A</v>
      </c>
      <c r="E15" s="184"/>
    </row>
    <row r="16" spans="2:10" ht="16.5" thickBot="1">
      <c r="B16" s="1051" t="s">
        <v>807</v>
      </c>
      <c r="C16" s="1052"/>
      <c r="D16" s="206" t="e">
        <f>BOM!N47</f>
        <v>#N/A</v>
      </c>
      <c r="E16" s="182"/>
    </row>
    <row r="17" spans="2:5" ht="16.5" thickBot="1">
      <c r="B17" s="1067" t="s">
        <v>63</v>
      </c>
      <c r="C17" s="189" t="s">
        <v>110</v>
      </c>
      <c r="D17" s="794">
        <f>设计主界面!C20</f>
        <v>0</v>
      </c>
      <c r="E17" s="182"/>
    </row>
    <row r="18" spans="2:5" ht="16.5" thickBot="1">
      <c r="B18" s="1068"/>
      <c r="C18" s="188" t="s">
        <v>111</v>
      </c>
      <c r="D18" s="202" t="e">
        <f>设计主界面!G20</f>
        <v>#N/A</v>
      </c>
      <c r="E18" s="182"/>
    </row>
    <row r="19" spans="2:5" ht="16.5" thickBot="1">
      <c r="B19" s="1068"/>
      <c r="C19" s="189" t="s">
        <v>112</v>
      </c>
      <c r="D19" s="203" t="e">
        <f>设计主界面!H20</f>
        <v>#N/A</v>
      </c>
      <c r="E19" s="182"/>
    </row>
    <row r="20" spans="2:5" ht="16.5" thickBot="1">
      <c r="B20" s="1068"/>
      <c r="C20" s="188" t="s">
        <v>113</v>
      </c>
      <c r="D20" s="204">
        <f>BOM!E8</f>
        <v>0</v>
      </c>
      <c r="E20" s="182"/>
    </row>
    <row r="21" spans="2:5" ht="16.5" thickBot="1">
      <c r="B21" s="1068"/>
      <c r="C21" s="189" t="s">
        <v>114</v>
      </c>
      <c r="D21" s="205">
        <f>设计主界面!I20</f>
        <v>0</v>
      </c>
      <c r="E21" s="182"/>
    </row>
    <row r="22" spans="2:5" ht="16.5" thickBot="1">
      <c r="B22" s="1068"/>
      <c r="C22" s="188" t="s">
        <v>115</v>
      </c>
      <c r="D22" s="206" t="e">
        <f>设计主界面!J20</f>
        <v>#N/A</v>
      </c>
      <c r="E22" s="182"/>
    </row>
    <row r="23" spans="2:5" ht="16.5" thickBot="1">
      <c r="B23" s="1068"/>
      <c r="C23" s="189" t="s">
        <v>116</v>
      </c>
      <c r="D23" s="207">
        <f>设计主界面!D20</f>
        <v>0</v>
      </c>
      <c r="E23" s="182"/>
    </row>
    <row r="24" spans="2:5" ht="17.25" thickBot="1">
      <c r="B24" s="1068"/>
      <c r="C24" s="188" t="s">
        <v>232</v>
      </c>
      <c r="D24" s="208" t="e">
        <f>设计主界面!I40</f>
        <v>#N/A</v>
      </c>
      <c r="E24" s="182"/>
    </row>
    <row r="25" spans="2:5" ht="17.25" thickBot="1">
      <c r="B25" s="1068"/>
      <c r="C25" s="189" t="s">
        <v>233</v>
      </c>
      <c r="D25" s="209">
        <f>设计主界面!D15</f>
        <v>0</v>
      </c>
      <c r="E25" s="184"/>
    </row>
    <row r="26" spans="2:5" ht="17.25" thickBot="1">
      <c r="B26" s="1068"/>
      <c r="C26" s="188" t="s">
        <v>234</v>
      </c>
      <c r="D26" s="197" t="e">
        <f>设计主界面!D40</f>
        <v>#N/A</v>
      </c>
      <c r="E26" s="182"/>
    </row>
    <row r="27" spans="2:5" ht="17.25" hidden="1" customHeight="1" thickBot="1">
      <c r="B27" s="1068"/>
      <c r="C27" s="189" t="s">
        <v>235</v>
      </c>
      <c r="D27" s="790">
        <f>Overhang!L88</f>
        <v>-3.25</v>
      </c>
      <c r="E27" s="182"/>
    </row>
    <row r="28" spans="2:5" ht="17.25" hidden="1" customHeight="1" thickBot="1">
      <c r="B28" s="1068"/>
      <c r="C28" s="188" t="s">
        <v>236</v>
      </c>
      <c r="D28" s="198">
        <f>Overhang!K113</f>
        <v>-6.75</v>
      </c>
      <c r="E28" s="182"/>
    </row>
    <row r="29" spans="2:5" ht="17.25" thickBot="1">
      <c r="B29" s="1069"/>
      <c r="C29" s="189" t="s">
        <v>814</v>
      </c>
      <c r="D29" s="211" t="e">
        <f>设计主界面!E40</f>
        <v>#N/A</v>
      </c>
      <c r="E29" s="182"/>
    </row>
    <row r="30" spans="2:5" ht="16.5" thickBot="1">
      <c r="B30" s="1070" t="s">
        <v>10</v>
      </c>
      <c r="C30" s="188" t="s">
        <v>117</v>
      </c>
      <c r="D30" s="201">
        <f>设计主界面!C19</f>
        <v>0</v>
      </c>
      <c r="E30" s="182"/>
    </row>
    <row r="31" spans="2:5" ht="16.5" thickBot="1">
      <c r="B31" s="1071"/>
      <c r="C31" s="189" t="s">
        <v>111</v>
      </c>
      <c r="D31" s="795" t="e">
        <f>设计主界面!G19</f>
        <v>#N/A</v>
      </c>
      <c r="E31" s="182"/>
    </row>
    <row r="32" spans="2:5" ht="16.5" thickBot="1">
      <c r="B32" s="1071"/>
      <c r="C32" s="188" t="s">
        <v>112</v>
      </c>
      <c r="D32" s="204" t="e">
        <f>设计主界面!H19</f>
        <v>#N/A</v>
      </c>
      <c r="E32" s="182"/>
    </row>
    <row r="33" spans="2:5" ht="16.5" thickBot="1">
      <c r="B33" s="1071"/>
      <c r="C33" s="189" t="s">
        <v>114</v>
      </c>
      <c r="D33" s="796" t="e">
        <f>设计主界面!I19</f>
        <v>#N/A</v>
      </c>
      <c r="E33" s="182"/>
    </row>
    <row r="34" spans="2:5" ht="17.25" customHeight="1" thickBot="1">
      <c r="B34" s="1071"/>
      <c r="C34" s="188" t="s">
        <v>115</v>
      </c>
      <c r="D34" s="206" t="e">
        <f>设计主界面!J19</f>
        <v>#N/A</v>
      </c>
      <c r="E34" s="182"/>
    </row>
    <row r="35" spans="2:5" ht="16.5" thickBot="1">
      <c r="B35" s="1071"/>
      <c r="C35" s="189" t="s">
        <v>118</v>
      </c>
      <c r="D35" s="207">
        <f>设计主界面!D19</f>
        <v>0</v>
      </c>
      <c r="E35" s="182"/>
    </row>
    <row r="36" spans="2:5" ht="17.25" thickBot="1">
      <c r="B36" s="1071"/>
      <c r="C36" s="188" t="s">
        <v>232</v>
      </c>
      <c r="D36" s="208" t="e">
        <f>设计主界面!I39</f>
        <v>#N/A</v>
      </c>
      <c r="E36" s="182"/>
    </row>
    <row r="37" spans="2:5" ht="17.25" thickBot="1">
      <c r="B37" s="1071"/>
      <c r="C37" s="189" t="s">
        <v>233</v>
      </c>
      <c r="D37" s="209">
        <f>IF(设计主界面!Q20="间歇",设计主界面!D15,设计主界面!D15+2)</f>
        <v>2</v>
      </c>
      <c r="E37" s="182"/>
    </row>
    <row r="38" spans="2:5" ht="17.25" thickBot="1">
      <c r="B38" s="1071"/>
      <c r="C38" s="188" t="s">
        <v>234</v>
      </c>
      <c r="D38" s="197" t="e">
        <f>设计主界面!D39</f>
        <v>#N/A</v>
      </c>
      <c r="E38" s="182"/>
    </row>
    <row r="39" spans="2:5" ht="17.25" hidden="1" thickBot="1">
      <c r="B39" s="1071"/>
      <c r="C39" s="786" t="s">
        <v>236</v>
      </c>
      <c r="D39" s="214">
        <f>Overhang!K68</f>
        <v>-2.25</v>
      </c>
      <c r="E39" s="182"/>
    </row>
    <row r="40" spans="2:5" ht="17.25" thickBot="1">
      <c r="B40" s="1072"/>
      <c r="C40" s="189" t="s">
        <v>814</v>
      </c>
      <c r="D40" s="212" t="e">
        <f>设计主界面!E39</f>
        <v>#N/A</v>
      </c>
      <c r="E40" s="182"/>
    </row>
    <row r="41" spans="2:5" ht="17.25" thickBot="1">
      <c r="B41" s="1070" t="s">
        <v>119</v>
      </c>
      <c r="C41" s="785" t="s">
        <v>237</v>
      </c>
      <c r="D41" s="210">
        <f>设计主界面!C24</f>
        <v>0</v>
      </c>
      <c r="E41" s="182"/>
    </row>
    <row r="42" spans="2:5" ht="17.25" thickBot="1">
      <c r="B42" s="1071"/>
      <c r="C42" s="786" t="s">
        <v>238</v>
      </c>
      <c r="D42" s="207" t="str">
        <f>设计主界面!C23</f>
        <v>裸膜+CCS+PCS</v>
      </c>
      <c r="E42" s="182"/>
    </row>
    <row r="43" spans="2:5" ht="17.25" thickBot="1">
      <c r="B43" s="1071"/>
      <c r="C43" s="785" t="s">
        <v>256</v>
      </c>
      <c r="D43" s="213" t="e">
        <f>设计主界面!E41</f>
        <v>#N/A</v>
      </c>
      <c r="E43" s="182"/>
    </row>
    <row r="44" spans="2:5" ht="17.25" thickBot="1">
      <c r="B44" s="1071"/>
      <c r="C44" s="786" t="s">
        <v>239</v>
      </c>
      <c r="D44" s="214" t="e">
        <f>设计主界面!D41</f>
        <v>#N/A</v>
      </c>
      <c r="E44" s="182"/>
    </row>
    <row r="45" spans="2:5" ht="17.25" thickBot="1">
      <c r="B45" s="1072"/>
      <c r="C45" s="188" t="s">
        <v>240</v>
      </c>
      <c r="D45" s="787">
        <f>6+2*D25+IF(设计主界面!Q20="间歇",1,3)*2</f>
        <v>12</v>
      </c>
      <c r="E45" s="182"/>
    </row>
    <row r="46" spans="2:5" ht="16.5" thickBot="1">
      <c r="B46" s="1053" t="s">
        <v>120</v>
      </c>
      <c r="C46" s="1054"/>
      <c r="D46" s="200">
        <f>设计主界面!I34</f>
        <v>0</v>
      </c>
      <c r="E46" s="182"/>
    </row>
    <row r="47" spans="2:5" ht="16.5" thickBot="1">
      <c r="B47" s="1051" t="s">
        <v>241</v>
      </c>
      <c r="C47" s="1052"/>
      <c r="D47" s="213">
        <f>设计主界面!J34</f>
        <v>0</v>
      </c>
      <c r="E47" s="182"/>
    </row>
    <row r="48" spans="2:5" ht="16.5" thickBot="1">
      <c r="B48" s="1053" t="s">
        <v>806</v>
      </c>
      <c r="C48" s="1054"/>
      <c r="D48" s="200">
        <f>设计主界面!C15</f>
        <v>0</v>
      </c>
      <c r="E48" s="182"/>
    </row>
    <row r="49" spans="2:10" ht="16.5" thickBot="1">
      <c r="B49" s="1051" t="s">
        <v>121</v>
      </c>
      <c r="C49" s="1052"/>
      <c r="D49" s="210">
        <f>设计主界面!F15</f>
        <v>0</v>
      </c>
      <c r="E49" s="182"/>
    </row>
    <row r="50" spans="2:10" ht="16.5" thickBot="1">
      <c r="B50" s="1053" t="s">
        <v>122</v>
      </c>
      <c r="C50" s="1054"/>
      <c r="D50" s="1045">
        <f>设计主界面!G15</f>
        <v>0</v>
      </c>
      <c r="E50" s="182"/>
    </row>
    <row r="51" spans="2:10" ht="16.5" thickBot="1">
      <c r="B51" s="1051" t="s">
        <v>242</v>
      </c>
      <c r="C51" s="1052"/>
      <c r="D51" s="791" t="e">
        <f>D53*D54*D55*D11/D8/D9/D10</f>
        <v>#N/A</v>
      </c>
      <c r="E51" s="182"/>
    </row>
    <row r="52" spans="2:10" ht="16.5" thickBot="1">
      <c r="B52" s="1053" t="s">
        <v>231</v>
      </c>
      <c r="C52" s="1054"/>
      <c r="D52" s="797">
        <f>设计主界面!C34</f>
        <v>0</v>
      </c>
      <c r="E52" s="182"/>
    </row>
    <row r="53" spans="2:10" ht="16.5" thickBot="1">
      <c r="B53" s="1051" t="s">
        <v>228</v>
      </c>
      <c r="C53" s="1052"/>
      <c r="D53" s="199" t="e">
        <f>设计主界面!D45</f>
        <v>#N/A</v>
      </c>
      <c r="E53" s="182"/>
    </row>
    <row r="54" spans="2:10" ht="16.5" thickBot="1">
      <c r="B54" s="1057" t="s">
        <v>229</v>
      </c>
      <c r="C54" s="1058"/>
      <c r="D54" s="798" t="e">
        <f>IF(设计主界面!O15="是",设计主界面!M52,设计主界面!D52)</f>
        <v>#N/A</v>
      </c>
      <c r="E54" s="184"/>
      <c r="F54" s="185"/>
      <c r="G54" s="185"/>
      <c r="H54" s="185"/>
      <c r="I54" s="185"/>
      <c r="J54" s="185"/>
    </row>
    <row r="55" spans="2:10" ht="17.25" customHeight="1" thickTop="1" thickBot="1">
      <c r="B55" s="783" t="s">
        <v>230</v>
      </c>
      <c r="C55" s="784"/>
      <c r="D55" s="788" t="e">
        <f>设计主界面!D41</f>
        <v>#N/A</v>
      </c>
      <c r="E55" s="184"/>
      <c r="F55" s="185"/>
      <c r="G55" s="185"/>
      <c r="H55" s="185"/>
      <c r="I55" s="185"/>
      <c r="J55" s="185"/>
    </row>
    <row r="57" spans="2:10" ht="15.75" customHeight="1">
      <c r="H57" s="547" t="s">
        <v>73</v>
      </c>
      <c r="I57" s="506"/>
    </row>
    <row r="58" spans="2:10" ht="15.75" customHeight="1">
      <c r="B58" s="181" t="s">
        <v>300</v>
      </c>
    </row>
    <row r="59" spans="2:10" ht="15.75" customHeight="1">
      <c r="B59" s="190" t="s">
        <v>123</v>
      </c>
      <c r="C59" s="191" t="s">
        <v>243</v>
      </c>
      <c r="D59" s="192"/>
      <c r="E59" s="192" t="s">
        <v>244</v>
      </c>
      <c r="F59" s="215">
        <f>D11</f>
        <v>0</v>
      </c>
      <c r="G59" s="192" t="s">
        <v>124</v>
      </c>
      <c r="H59" s="193" t="s">
        <v>245</v>
      </c>
    </row>
    <row r="60" spans="2:10" ht="15.75" customHeight="1">
      <c r="B60" s="190" t="s">
        <v>125</v>
      </c>
      <c r="C60" s="190" t="s">
        <v>126</v>
      </c>
      <c r="D60" s="190" t="s">
        <v>246</v>
      </c>
      <c r="E60" s="190" t="s">
        <v>127</v>
      </c>
      <c r="F60" s="190" t="s">
        <v>128</v>
      </c>
      <c r="G60" s="190" t="s">
        <v>129</v>
      </c>
      <c r="H60" s="190" t="s">
        <v>130</v>
      </c>
    </row>
    <row r="61" spans="2:10" ht="15.75" customHeight="1">
      <c r="B61" s="194" t="s">
        <v>63</v>
      </c>
      <c r="C61" s="540" t="e">
        <f>D29</f>
        <v>#N/A</v>
      </c>
      <c r="D61" s="545"/>
      <c r="E61" s="546"/>
      <c r="F61" s="542" t="e">
        <f>D26</f>
        <v>#N/A</v>
      </c>
      <c r="G61" s="543">
        <f>D21</f>
        <v>0</v>
      </c>
      <c r="H61" s="545"/>
    </row>
    <row r="62" spans="2:10" ht="15.75" customHeight="1">
      <c r="B62" s="194" t="s">
        <v>10</v>
      </c>
      <c r="C62" s="540" t="e">
        <f>D40</f>
        <v>#N/A</v>
      </c>
      <c r="D62" s="545"/>
      <c r="E62" s="546"/>
      <c r="F62" s="542" t="e">
        <f>D38</f>
        <v>#N/A</v>
      </c>
      <c r="G62" s="544" t="e">
        <f>D33</f>
        <v>#N/A</v>
      </c>
      <c r="H62" s="545"/>
    </row>
    <row r="63" spans="2:10" ht="15.75" customHeight="1">
      <c r="B63" s="195" t="s">
        <v>131</v>
      </c>
      <c r="C63" s="540" t="e">
        <f>D43</f>
        <v>#N/A</v>
      </c>
      <c r="D63" s="545"/>
      <c r="E63" s="546"/>
      <c r="F63" s="542" t="e">
        <f>D44</f>
        <v>#N/A</v>
      </c>
      <c r="G63" s="545"/>
      <c r="H63" s="545"/>
    </row>
    <row r="64" spans="2:10" ht="15.75" customHeight="1">
      <c r="B64" s="195" t="s">
        <v>132</v>
      </c>
      <c r="C64" s="541"/>
      <c r="D64" s="545"/>
      <c r="E64" s="545"/>
      <c r="F64" s="195"/>
      <c r="G64" s="545"/>
      <c r="H64" s="545"/>
    </row>
    <row r="65" spans="2:8" ht="15.75" customHeight="1">
      <c r="B65" s="195" t="s">
        <v>133</v>
      </c>
      <c r="C65" s="540" t="e">
        <f>C61</f>
        <v>#N/A</v>
      </c>
      <c r="D65" s="545"/>
      <c r="E65" s="546"/>
      <c r="F65" s="542">
        <f>D27</f>
        <v>-3.25</v>
      </c>
      <c r="G65" s="545"/>
      <c r="H65" s="545"/>
    </row>
    <row r="66" spans="2:8" ht="15.75" customHeight="1">
      <c r="B66" s="195" t="s">
        <v>247</v>
      </c>
      <c r="C66" s="195"/>
      <c r="D66" s="545"/>
      <c r="E66" s="545"/>
      <c r="F66" s="195"/>
      <c r="G66" s="195"/>
      <c r="H66" s="545"/>
    </row>
  </sheetData>
  <sheetProtection algorithmName="SHA-512" hashValue="rFbRgYPnfCtF93eVHdw6jvSLs+0J13r1hM7QKxkq5woA/pqt6GrB3EYu0+V39rIEbe0RSDVDbCMD52VQyVYZTg==" saltValue="ahzw8PIe90TG9twuqdPTxA==" spinCount="100000" sheet="1" objects="1" scenarios="1" formatCells="0" formatColumns="0" formatRows="0" insertColumns="0" insertRows="0" insertHyperlinks="0" deleteColumns="0" deleteRows="0" sort="0" autoFilter="0" pivotTables="0"/>
  <mergeCells count="25">
    <mergeCell ref="B4:C4"/>
    <mergeCell ref="B54:C54"/>
    <mergeCell ref="B5:C5"/>
    <mergeCell ref="B6:C6"/>
    <mergeCell ref="B7:C7"/>
    <mergeCell ref="B8:C8"/>
    <mergeCell ref="B9:C9"/>
    <mergeCell ref="B10:C10"/>
    <mergeCell ref="B53:C53"/>
    <mergeCell ref="B17:B29"/>
    <mergeCell ref="B50:C50"/>
    <mergeCell ref="B11:C11"/>
    <mergeCell ref="B52:C52"/>
    <mergeCell ref="B30:B40"/>
    <mergeCell ref="B41:B45"/>
    <mergeCell ref="B46:C46"/>
    <mergeCell ref="B51:C51"/>
    <mergeCell ref="B12:C12"/>
    <mergeCell ref="B13:C13"/>
    <mergeCell ref="B14:C14"/>
    <mergeCell ref="B47:C47"/>
    <mergeCell ref="B48:C48"/>
    <mergeCell ref="B49:C49"/>
    <mergeCell ref="B15:C15"/>
    <mergeCell ref="B16:C16"/>
  </mergeCells>
  <phoneticPr fontId="6" type="noConversion"/>
  <pageMargins left="0.7" right="0.7" top="0.75" bottom="0.75" header="0.3" footer="0.3"/>
  <pageSetup paperSize="9" orientation="portrait"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J184"/>
  <sheetViews>
    <sheetView zoomScaleNormal="100" workbookViewId="0">
      <pane xSplit="7" ySplit="6" topLeftCell="H7" activePane="bottomRight" state="frozen"/>
      <selection pane="topRight" activeCell="H1" sqref="H1"/>
      <selection pane="bottomLeft" activeCell="A7" sqref="A7"/>
      <selection pane="bottomRight" activeCell="H13" sqref="H13:J13"/>
    </sheetView>
  </sheetViews>
  <sheetFormatPr defaultColWidth="9" defaultRowHeight="15"/>
  <cols>
    <col min="1" max="1" width="3.125" style="216" customWidth="1" collapsed="1"/>
    <col min="2" max="2" width="13.625" style="216" customWidth="1" collapsed="1"/>
    <col min="3" max="3" width="9.375" style="216" customWidth="1" collapsed="1"/>
    <col min="4" max="4" width="13.5" style="216" customWidth="1" collapsed="1"/>
    <col min="5" max="5" width="15" style="216" customWidth="1" collapsed="1"/>
    <col min="6" max="6" width="10.25" style="216" customWidth="1" collapsed="1"/>
    <col min="7" max="7" width="10" style="217" customWidth="1" collapsed="1"/>
    <col min="8" max="10" width="11.125" style="216" customWidth="1" collapsed="1"/>
    <col min="11" max="16384" width="9" style="216" collapsed="1"/>
  </cols>
  <sheetData>
    <row r="2" spans="2:10" ht="21" thickBot="1">
      <c r="B2" s="773" t="s">
        <v>797</v>
      </c>
      <c r="C2" s="218"/>
      <c r="D2" s="218"/>
      <c r="E2" s="218" t="s">
        <v>71</v>
      </c>
      <c r="F2" s="218"/>
      <c r="G2" s="219"/>
    </row>
    <row r="3" spans="2:10" ht="15.75" thickTop="1">
      <c r="B3" s="741" t="s">
        <v>799</v>
      </c>
      <c r="E3" s="1091"/>
      <c r="F3" s="1091"/>
      <c r="G3" s="775" t="s">
        <v>798</v>
      </c>
    </row>
    <row r="4" spans="2:10" ht="15.75" thickBot="1">
      <c r="B4" s="776" t="s">
        <v>800</v>
      </c>
    </row>
    <row r="5" spans="2:10" ht="15.75" thickBot="1">
      <c r="B5" s="1131" t="s">
        <v>650</v>
      </c>
      <c r="C5" s="1086"/>
      <c r="D5" s="1087"/>
      <c r="E5" s="1132" t="s">
        <v>931</v>
      </c>
      <c r="F5" s="1133"/>
      <c r="G5" s="1134"/>
      <c r="H5" s="1082"/>
      <c r="I5" s="1083"/>
      <c r="J5" s="1084"/>
    </row>
    <row r="6" spans="2:10" ht="15.75" thickBot="1">
      <c r="B6" s="1135" t="s">
        <v>743</v>
      </c>
      <c r="C6" s="1136"/>
      <c r="D6" s="1137"/>
      <c r="E6" s="1138"/>
      <c r="F6" s="1139"/>
      <c r="G6" s="1140"/>
      <c r="H6" s="1085"/>
      <c r="I6" s="1086"/>
      <c r="J6" s="1087"/>
    </row>
    <row r="7" spans="2:10">
      <c r="B7" s="1127" t="s">
        <v>651</v>
      </c>
      <c r="C7" s="1128"/>
      <c r="D7" s="1129"/>
      <c r="E7" s="1141"/>
      <c r="F7" s="1142"/>
      <c r="G7" s="1143"/>
      <c r="H7" s="1088"/>
      <c r="I7" s="1089"/>
      <c r="J7" s="1090"/>
    </row>
    <row r="8" spans="2:10">
      <c r="B8" s="1130" t="s">
        <v>652</v>
      </c>
      <c r="C8" s="1108"/>
      <c r="D8" s="1109"/>
      <c r="E8" s="1144"/>
      <c r="F8" s="1145"/>
      <c r="G8" s="1146"/>
      <c r="H8" s="1078"/>
      <c r="I8" s="1079"/>
      <c r="J8" s="1080"/>
    </row>
    <row r="9" spans="2:10" ht="15" customHeight="1" thickBot="1">
      <c r="B9" s="1130" t="s">
        <v>772</v>
      </c>
      <c r="C9" s="1108"/>
      <c r="D9" s="1109"/>
      <c r="E9" s="1147"/>
      <c r="F9" s="1148"/>
      <c r="G9" s="1149"/>
      <c r="H9" s="1078"/>
      <c r="I9" s="1079"/>
      <c r="J9" s="1080"/>
    </row>
    <row r="10" spans="2:10">
      <c r="B10" s="1107" t="s">
        <v>773</v>
      </c>
      <c r="C10" s="1108"/>
      <c r="D10" s="1109"/>
      <c r="E10" s="1081"/>
      <c r="F10" s="1081"/>
      <c r="G10" s="1081"/>
      <c r="H10" s="1081"/>
      <c r="I10" s="1081"/>
      <c r="J10" s="1081"/>
    </row>
    <row r="11" spans="2:10">
      <c r="B11" s="1107" t="s">
        <v>774</v>
      </c>
      <c r="C11" s="1108"/>
      <c r="D11" s="1109"/>
      <c r="E11" s="1074"/>
      <c r="F11" s="1074"/>
      <c r="G11" s="1074"/>
      <c r="H11" s="1074"/>
      <c r="I11" s="1074"/>
      <c r="J11" s="1074"/>
    </row>
    <row r="12" spans="2:10">
      <c r="B12" s="1107" t="s">
        <v>775</v>
      </c>
      <c r="C12" s="1108"/>
      <c r="D12" s="1109"/>
      <c r="E12" s="1074"/>
      <c r="F12" s="1074"/>
      <c r="G12" s="1074"/>
      <c r="H12" s="1074"/>
      <c r="I12" s="1074"/>
      <c r="J12" s="1074"/>
    </row>
    <row r="13" spans="2:10">
      <c r="B13" s="1107" t="s">
        <v>744</v>
      </c>
      <c r="C13" s="1108"/>
      <c r="D13" s="1109"/>
      <c r="E13" s="1074"/>
      <c r="F13" s="1074"/>
      <c r="G13" s="1074"/>
      <c r="H13" s="1074"/>
      <c r="I13" s="1074"/>
      <c r="J13" s="1074"/>
    </row>
    <row r="14" spans="2:10">
      <c r="B14" s="1107" t="s">
        <v>771</v>
      </c>
      <c r="C14" s="1108"/>
      <c r="D14" s="1109"/>
      <c r="E14" s="1074"/>
      <c r="F14" s="1074"/>
      <c r="G14" s="1074"/>
      <c r="H14" s="1074"/>
      <c r="I14" s="1074"/>
      <c r="J14" s="1074"/>
    </row>
    <row r="15" spans="2:10">
      <c r="B15" s="1107" t="s">
        <v>769</v>
      </c>
      <c r="C15" s="1108"/>
      <c r="D15" s="1109"/>
      <c r="E15" s="1074"/>
      <c r="F15" s="1074"/>
      <c r="G15" s="1074"/>
      <c r="H15" s="1074"/>
      <c r="I15" s="1074"/>
      <c r="J15" s="1074"/>
    </row>
    <row r="16" spans="2:10">
      <c r="B16" s="1124" t="s">
        <v>770</v>
      </c>
      <c r="C16" s="1125"/>
      <c r="D16" s="1126"/>
      <c r="E16" s="1074"/>
      <c r="F16" s="1074"/>
      <c r="G16" s="1074"/>
      <c r="H16" s="1074"/>
      <c r="I16" s="1074"/>
      <c r="J16" s="1074"/>
    </row>
    <row r="17" spans="2:10">
      <c r="B17" s="1107" t="s">
        <v>793</v>
      </c>
      <c r="C17" s="1108"/>
      <c r="D17" s="1109"/>
      <c r="E17" s="1074"/>
      <c r="F17" s="1074"/>
      <c r="G17" s="1074"/>
      <c r="H17" s="1074"/>
      <c r="I17" s="1074"/>
      <c r="J17" s="1074"/>
    </row>
    <row r="18" spans="2:10" ht="15.75" thickBot="1">
      <c r="B18" s="1092"/>
      <c r="C18" s="1093"/>
      <c r="D18" s="1094"/>
      <c r="E18" s="1095"/>
      <c r="F18" s="1096"/>
      <c r="G18" s="1097"/>
      <c r="H18" s="1075"/>
      <c r="I18" s="1076"/>
      <c r="J18" s="1077"/>
    </row>
    <row r="19" spans="2:10" ht="15" customHeight="1">
      <c r="B19" s="1110" t="s">
        <v>745</v>
      </c>
      <c r="C19" s="1111"/>
      <c r="D19" s="1112"/>
      <c r="E19" s="1113" t="e">
        <f>E8*HLOOKUP(E3,H5:DQ48,15,FALSE)/HLOOKUP(E3,H5:DQ48,4,FALSE)</f>
        <v>#N/A</v>
      </c>
      <c r="F19" s="1114"/>
      <c r="G19" s="1115"/>
      <c r="H19" s="1074"/>
      <c r="I19" s="1074"/>
      <c r="J19" s="1074"/>
    </row>
    <row r="20" spans="2:10" ht="15" customHeight="1">
      <c r="B20" s="1101" t="s">
        <v>840</v>
      </c>
      <c r="C20" s="1102" t="s">
        <v>653</v>
      </c>
      <c r="D20" s="1103"/>
      <c r="E20" s="1104" t="e">
        <f>E8*HLOOKUP(E3,H5:DQ48,16,FALSE)/HLOOKUP(E3,H5:DQ48,4,FALSE)</f>
        <v>#N/A</v>
      </c>
      <c r="F20" s="1105"/>
      <c r="G20" s="1106"/>
      <c r="H20" s="1074"/>
      <c r="I20" s="1074"/>
      <c r="J20" s="1074"/>
    </row>
    <row r="21" spans="2:10" ht="15" customHeight="1">
      <c r="B21" s="1101" t="s">
        <v>746</v>
      </c>
      <c r="C21" s="1102" t="s">
        <v>654</v>
      </c>
      <c r="D21" s="1103"/>
      <c r="E21" s="1104" t="e">
        <f>E7*HLOOKUP(E3,H5:DQ48,17,FALSE)/HLOOKUP(E3,H5:DQ48,3,FALSE)</f>
        <v>#N/A</v>
      </c>
      <c r="F21" s="1105"/>
      <c r="G21" s="1106"/>
      <c r="H21" s="1074"/>
      <c r="I21" s="1074"/>
      <c r="J21" s="1074"/>
    </row>
    <row r="22" spans="2:10" ht="15" customHeight="1">
      <c r="B22" s="1101" t="s">
        <v>747</v>
      </c>
      <c r="C22" s="1102" t="s">
        <v>654</v>
      </c>
      <c r="D22" s="1103"/>
      <c r="E22" s="1104" t="e">
        <f>E8*HLOOKUP(E3,H5:DQ48,18,FALSE)/HLOOKUP(E3,H5:DQ48,4,FALSE)</f>
        <v>#N/A</v>
      </c>
      <c r="F22" s="1105"/>
      <c r="G22" s="1106"/>
      <c r="H22" s="1074"/>
      <c r="I22" s="1074"/>
      <c r="J22" s="1074"/>
    </row>
    <row r="23" spans="2:10" ht="15" customHeight="1">
      <c r="B23" s="1101" t="s">
        <v>655</v>
      </c>
      <c r="C23" s="1102" t="s">
        <v>656</v>
      </c>
      <c r="D23" s="1103"/>
      <c r="E23" s="1104" t="e">
        <f>E8*HLOOKUP(E3,H5:DQ48,19,FALSE)/HLOOKUP(E3,H5:DQ48,4,FALSE)</f>
        <v>#N/A</v>
      </c>
      <c r="F23" s="1105"/>
      <c r="G23" s="1106"/>
      <c r="H23" s="1074"/>
      <c r="I23" s="1074"/>
      <c r="J23" s="1074"/>
    </row>
    <row r="24" spans="2:10" ht="15" customHeight="1">
      <c r="B24" s="1101" t="s">
        <v>657</v>
      </c>
      <c r="C24" s="1102" t="s">
        <v>658</v>
      </c>
      <c r="D24" s="1103"/>
      <c r="E24" s="1104" t="e">
        <f>E8*HLOOKUP(E3,H5:DQ48,20,FALSE)/HLOOKUP(E3,H5:DQ48,4,FALSE)</f>
        <v>#N/A</v>
      </c>
      <c r="F24" s="1105"/>
      <c r="G24" s="1106"/>
      <c r="H24" s="1074"/>
      <c r="I24" s="1074"/>
      <c r="J24" s="1074"/>
    </row>
    <row r="25" spans="2:10" ht="15" customHeight="1">
      <c r="B25" s="1101" t="s">
        <v>659</v>
      </c>
      <c r="C25" s="1102" t="s">
        <v>659</v>
      </c>
      <c r="D25" s="1103"/>
      <c r="E25" s="1104" t="e">
        <f>E8*HLOOKUP(E3,H5:DQ48,21,FALSE)/HLOOKUP(E3,H5:DQ48,4,FALSE)</f>
        <v>#N/A</v>
      </c>
      <c r="F25" s="1105"/>
      <c r="G25" s="1106"/>
      <c r="H25" s="1074"/>
      <c r="I25" s="1074"/>
      <c r="J25" s="1074"/>
    </row>
    <row r="26" spans="2:10" ht="15" customHeight="1">
      <c r="B26" s="1101" t="s">
        <v>660</v>
      </c>
      <c r="C26" s="1102" t="s">
        <v>661</v>
      </c>
      <c r="D26" s="1103"/>
      <c r="E26" s="1104" t="e">
        <f>E8*HLOOKUP(E3,H5:DQ48,22,FALSE)/HLOOKUP(E3,H5:DQ48,4,FALSE)</f>
        <v>#N/A</v>
      </c>
      <c r="F26" s="1105"/>
      <c r="G26" s="1106"/>
      <c r="H26" s="1074"/>
      <c r="I26" s="1074"/>
      <c r="J26" s="1074"/>
    </row>
    <row r="27" spans="2:10" ht="15" customHeight="1">
      <c r="B27" s="1101" t="s">
        <v>662</v>
      </c>
      <c r="C27" s="1102" t="s">
        <v>663</v>
      </c>
      <c r="D27" s="1103"/>
      <c r="E27" s="1104" t="e">
        <f>E8*HLOOKUP(E3,H5:DQ48,23,FALSE)/HLOOKUP(E3,H5:DQ48,4,FALSE)</f>
        <v>#N/A</v>
      </c>
      <c r="F27" s="1105"/>
      <c r="G27" s="1106"/>
      <c r="H27" s="1074"/>
      <c r="I27" s="1074"/>
      <c r="J27" s="1074"/>
    </row>
    <row r="28" spans="2:10" ht="15" customHeight="1">
      <c r="B28" s="747" t="s">
        <v>664</v>
      </c>
      <c r="C28" s="748"/>
      <c r="D28" s="749"/>
      <c r="E28" s="1104" t="e">
        <f>E8*HLOOKUP(E3,H5:DQ48,24,FALSE)/HLOOKUP(E3,H5:DQ48,4,FALSE)</f>
        <v>#N/A</v>
      </c>
      <c r="F28" s="1105"/>
      <c r="G28" s="1106"/>
      <c r="H28" s="1074"/>
      <c r="I28" s="1074"/>
      <c r="J28" s="1074"/>
    </row>
    <row r="29" spans="2:10" ht="15.75" customHeight="1" thickBot="1">
      <c r="B29" s="1101" t="s">
        <v>848</v>
      </c>
      <c r="C29" s="1102"/>
      <c r="D29" s="1103"/>
      <c r="E29" s="1098" t="e">
        <f>E8*HLOOKUP(E3,H5:DQ48,25,FALSE)/HLOOKUP(E3,H5:DQ48,4,FALSE)</f>
        <v>#N/A</v>
      </c>
      <c r="F29" s="1099"/>
      <c r="G29" s="1100"/>
      <c r="H29" s="1073"/>
      <c r="I29" s="1073"/>
      <c r="J29" s="1073"/>
    </row>
    <row r="30" spans="2:10" ht="15.75" customHeight="1">
      <c r="B30" s="1116"/>
      <c r="C30" s="1117"/>
      <c r="D30" s="1118"/>
      <c r="E30" s="716" t="s">
        <v>665</v>
      </c>
      <c r="F30" s="716" t="s">
        <v>666</v>
      </c>
      <c r="G30" s="716" t="s">
        <v>760</v>
      </c>
      <c r="H30" s="1016" t="s">
        <v>665</v>
      </c>
      <c r="I30" s="1016" t="s">
        <v>666</v>
      </c>
      <c r="J30" s="1016" t="s">
        <v>760</v>
      </c>
    </row>
    <row r="31" spans="2:10" ht="15" customHeight="1">
      <c r="B31" s="1119" t="s">
        <v>667</v>
      </c>
      <c r="C31" s="717" t="s">
        <v>749</v>
      </c>
      <c r="D31" s="509"/>
      <c r="E31" s="760" t="s">
        <v>473</v>
      </c>
      <c r="F31" s="1002" t="e">
        <f>E7*E8*INDEX(H30:DQ49,2,HLOOKUP(E3,H5:DQ49,45,FALSE)-2)/HLOOKUP(E3,H5:DQ48,3,FALSE)/HLOOKUP(E3,H5:DQ48,4,FALSE)</f>
        <v>#N/A</v>
      </c>
      <c r="G31" s="859" t="e">
        <f>E7*E8*INDEX(H30:DQ49,2,HLOOKUP(E3,H5:DQ49,45,FALSE)-1)/HLOOKUP(E3,H5:DQ48,3,FALSE)/HLOOKUP(E3,H5:DQ48,4,FALSE)</f>
        <v>#N/A</v>
      </c>
      <c r="H31" s="517"/>
      <c r="I31" s="1015"/>
      <c r="J31" s="1017"/>
    </row>
    <row r="32" spans="2:10" ht="15" customHeight="1">
      <c r="B32" s="1120"/>
      <c r="C32" s="717" t="s">
        <v>750</v>
      </c>
      <c r="D32" s="509"/>
      <c r="E32" s="760" t="s">
        <v>473</v>
      </c>
      <c r="F32" s="859">
        <f>G32*2.7/1000</f>
        <v>0</v>
      </c>
      <c r="G32" s="859">
        <f>E7*E8*E9-(E7-2*E10)*(E8-2*E11)*(E9-E12)</f>
        <v>0</v>
      </c>
      <c r="H32" s="517"/>
      <c r="I32" s="1015"/>
      <c r="J32" s="1017"/>
    </row>
    <row r="33" spans="2:10">
      <c r="B33" s="1120"/>
      <c r="C33" s="508" t="s">
        <v>587</v>
      </c>
      <c r="D33" s="509"/>
      <c r="E33" s="760" t="s">
        <v>473</v>
      </c>
      <c r="F33" s="859" t="e">
        <f>E8*E9*INDEX(H30:DQ49,4,HLOOKUP(E3,H5:DQ49,45,FALSE)-2)/HLOOKUP(E3,H5:DQ48,4,FALSE)/HLOOKUP(E3,H5:DQ48,5,FALSE)</f>
        <v>#N/A</v>
      </c>
      <c r="G33" s="859" t="e">
        <f>E8*E9*INDEX(H30:DQ49,4,HLOOKUP(E3,H5:DQ49,45,FALSE)-1)/HLOOKUP(E3,H5:DQ48,4,FALSE)/HLOOKUP(E3,H5:DQ48,5,FALSE)</f>
        <v>#N/A</v>
      </c>
      <c r="H33" s="517"/>
      <c r="I33" s="1015"/>
      <c r="J33" s="1017"/>
    </row>
    <row r="34" spans="2:10">
      <c r="B34" s="1120"/>
      <c r="C34" s="717" t="s">
        <v>751</v>
      </c>
      <c r="D34" s="509"/>
      <c r="E34" s="760" t="s">
        <v>473</v>
      </c>
      <c r="F34" s="859" t="e">
        <f>E7*E8*INDEX(H30:DQ49,5,HLOOKUP(E3,H5:DQ49,45,FALSE)-2)/HLOOKUP(E3,H5:DQ48,3,FALSE)/HLOOKUP(E3,H5:DQ48,4,FALSE)</f>
        <v>#N/A</v>
      </c>
      <c r="G34" s="859" t="e">
        <f>E7*E8*INDEX(H30:DQ49,5,HLOOKUP(E3,H5:DQ49,45,FALSE)-1)/HLOOKUP(E3,H5:DQ48,3,FALSE)/HLOOKUP(E3,H5:DQ48,4,FALSE)</f>
        <v>#N/A</v>
      </c>
      <c r="H34" s="517"/>
      <c r="I34" s="1015"/>
      <c r="J34" s="1017"/>
    </row>
    <row r="35" spans="2:10">
      <c r="B35" s="1120"/>
      <c r="C35" s="717" t="s">
        <v>752</v>
      </c>
      <c r="D35" s="509"/>
      <c r="E35" s="760" t="s">
        <v>473</v>
      </c>
      <c r="F35" s="859" t="e">
        <f>E7*E8*INDEX(H30:DQ49,6,HLOOKUP(E3,H5:DQ49,45,FALSE)-2)/HLOOKUP(E3,H5:DQ48,3,FALSE)/HLOOKUP(E3,H5:DQ48,4,FALSE)</f>
        <v>#N/A</v>
      </c>
      <c r="G35" s="859" t="e">
        <f>E7*E8*INDEX(H30:DQ49,6,HLOOKUP(E3,H5:DQ49,45,FALSE)-1)/HLOOKUP(E3,H5:DQ48,3,FALSE)/HLOOKUP(E3,H5:DQ48,4,FALSE)</f>
        <v>#N/A</v>
      </c>
      <c r="H35" s="517"/>
      <c r="I35" s="1015"/>
      <c r="J35" s="1017"/>
    </row>
    <row r="36" spans="2:10">
      <c r="B36" s="1120"/>
      <c r="C36" s="717" t="s">
        <v>753</v>
      </c>
      <c r="D36" s="509"/>
      <c r="E36" s="760" t="s">
        <v>473</v>
      </c>
      <c r="F36" s="859" t="e">
        <f>E7*E8*INDEX(H30:DQ49,7,HLOOKUP(E3,H5:DQ49,45,FALSE)-2)/HLOOKUP(E3,H5:DQ48,3,FALSE)/HLOOKUP(E3,H5:DQ48,4,FALSE)</f>
        <v>#N/A</v>
      </c>
      <c r="G36" s="859" t="e">
        <f>E7*E8*INDEX(H30:DQ49,7,HLOOKUP(E3,H5:DQ49,45,FALSE)-1)/HLOOKUP(E3,H5:DQ48,3,FALSE)/HLOOKUP(E3,H5:DQ48,4,FALSE)</f>
        <v>#N/A</v>
      </c>
      <c r="H36" s="517"/>
      <c r="I36" s="1015"/>
      <c r="J36" s="1017"/>
    </row>
    <row r="37" spans="2:10">
      <c r="B37" s="1120"/>
      <c r="C37" s="508" t="s">
        <v>754</v>
      </c>
      <c r="D37" s="509"/>
      <c r="E37" s="760" t="s">
        <v>473</v>
      </c>
      <c r="F37" s="859" t="e">
        <f>E7*E8*INDEX(H30:DQ49,8,HLOOKUP(E3,H5:DQ49,45,FALSE)-2)/HLOOKUP(E3,H5:DQ48,3,FALSE)/HLOOKUP(E3,H5:DQ48,4,FALSE)</f>
        <v>#N/A</v>
      </c>
      <c r="G37" s="859" t="e">
        <f>E7*E8*INDEX(H30:DQ49,8,HLOOKUP(E3,H5:DQ49,45,FALSE)-1)/HLOOKUP(E3,H5:DQ48,3,FALSE)/HLOOKUP(E3,H5:DQ48,4,FALSE)</f>
        <v>#N/A</v>
      </c>
      <c r="H37" s="517"/>
      <c r="I37" s="1015"/>
      <c r="J37" s="1017"/>
    </row>
    <row r="38" spans="2:10">
      <c r="B38" s="1120"/>
      <c r="C38" s="508" t="s">
        <v>755</v>
      </c>
      <c r="D38" s="509"/>
      <c r="E38" s="760" t="s">
        <v>473</v>
      </c>
      <c r="F38" s="859" t="e">
        <f>E7*E8*INDEX(H30:DQ49,9,HLOOKUP(E3,H5:DQ49,45,FALSE)-2)/HLOOKUP(E3,H5:DQ48,3,FALSE)/HLOOKUP(E3,H5:DQ48,4,FALSE)</f>
        <v>#N/A</v>
      </c>
      <c r="G38" s="859" t="e">
        <f>E7*E8*INDEX(H30:DQ49,9,HLOOKUP(E3,H5:DQ49,45,FALSE)-1)/HLOOKUP(E3,H5:DQ48,3,FALSE)/HLOOKUP(E3,H5:DQ48,4,FALSE)</f>
        <v>#N/A</v>
      </c>
      <c r="H38" s="517"/>
      <c r="I38" s="1015"/>
      <c r="J38" s="1017"/>
    </row>
    <row r="39" spans="2:10">
      <c r="B39" s="1120"/>
      <c r="C39" s="508" t="s">
        <v>756</v>
      </c>
      <c r="D39" s="509"/>
      <c r="E39" s="760" t="s">
        <v>473</v>
      </c>
      <c r="F39" s="859" t="e">
        <f>E7*E8*INDEX(H30:DQ49,10,HLOOKUP(E3,H5:DQ49,45,FALSE)-2)/HLOOKUP(E3,H5:DQ48,3,FALSE)/HLOOKUP(E3,H5:DQ48,4,FALSE)</f>
        <v>#N/A</v>
      </c>
      <c r="G39" s="859" t="e">
        <f>E7*E8*INDEX(H30:DQ49,10,HLOOKUP(E3,H5:DQ49,45,FALSE)-1)/HLOOKUP(E3,H5:DQ48,3,FALSE)/HLOOKUP(E3,H5:DQ48,4,FALSE)</f>
        <v>#N/A</v>
      </c>
      <c r="H39" s="517"/>
      <c r="I39" s="1015"/>
      <c r="J39" s="1017"/>
    </row>
    <row r="40" spans="2:10">
      <c r="B40" s="1120"/>
      <c r="C40" s="508" t="s">
        <v>757</v>
      </c>
      <c r="D40" s="509"/>
      <c r="E40" s="760" t="s">
        <v>473</v>
      </c>
      <c r="F40" s="859" t="e">
        <f>E7*E8*INDEX(H30:DQ49,11,HLOOKUP(E3,H5:DQ49,45,FALSE)-2)/HLOOKUP(E3,H5:DQ48,3,FALSE)/HLOOKUP(E3,H5:DQ48,4,FALSE)</f>
        <v>#N/A</v>
      </c>
      <c r="G40" s="859" t="e">
        <f>E7*E8*INDEX(H30:DQM49,10,HLOOKUP(E3,H5:DQ49,45,FALSE)-1)/HLOOKUP(E3,H5:DQ48,3,FALSE)/HLOOKUP(E3,H5:DQ48,4,FALSE)</f>
        <v>#N/A</v>
      </c>
      <c r="H40" s="517"/>
      <c r="I40" s="1015"/>
      <c r="J40" s="1017"/>
    </row>
    <row r="41" spans="2:10">
      <c r="B41" s="1120"/>
      <c r="C41" s="717" t="s">
        <v>758</v>
      </c>
      <c r="D41" s="509"/>
      <c r="E41" s="760" t="s">
        <v>473</v>
      </c>
      <c r="F41" s="859" t="e">
        <f>E8*E9*INDEX(H30:DQ49,12,HLOOKUP(E3,H5:DQ49,45,FALSE)-2)/HLOOKUP(E3,H5:DQ48,4,FALSE)/HLOOKUP(E3,H5:DQ48,5,FALSE)</f>
        <v>#N/A</v>
      </c>
      <c r="G41" s="859" t="e">
        <f>E8*E9*INDEX(H30:DQ49,11,HLOOKUP(E3,H5:DQ49,45,FALSE)-1)/HLOOKUP(E3,H5:DQ48,4,FALSE)/HLOOKUP(E3,H5:DQ48,5,FALSE)</f>
        <v>#N/A</v>
      </c>
      <c r="H41" s="517"/>
      <c r="I41" s="1015"/>
      <c r="J41" s="1017"/>
    </row>
    <row r="42" spans="2:10">
      <c r="B42" s="1120"/>
      <c r="C42" s="755" t="s">
        <v>759</v>
      </c>
      <c r="D42" s="756"/>
      <c r="E42" s="774"/>
      <c r="F42" s="778"/>
      <c r="G42" s="778"/>
      <c r="H42" s="1003"/>
      <c r="I42" s="1015"/>
      <c r="J42" s="1017"/>
    </row>
    <row r="43" spans="2:10">
      <c r="B43" s="1120"/>
      <c r="C43" s="757" t="s">
        <v>748</v>
      </c>
      <c r="D43" s="746"/>
      <c r="E43" s="774"/>
      <c r="F43" s="778"/>
      <c r="G43" s="778"/>
      <c r="H43" s="1003"/>
      <c r="I43" s="1015"/>
      <c r="J43" s="1017"/>
    </row>
    <row r="44" spans="2:10">
      <c r="B44" s="1120"/>
      <c r="C44" s="755" t="s">
        <v>776</v>
      </c>
      <c r="D44" s="756"/>
      <c r="E44" s="760" t="s">
        <v>473</v>
      </c>
      <c r="F44" s="777"/>
      <c r="G44" s="777"/>
      <c r="H44" s="517"/>
      <c r="I44" s="1015"/>
      <c r="J44" s="1017"/>
    </row>
    <row r="45" spans="2:10">
      <c r="B45" s="1120"/>
      <c r="C45" s="758" t="s">
        <v>777</v>
      </c>
      <c r="D45" s="759"/>
      <c r="E45" s="774"/>
      <c r="F45" s="779"/>
      <c r="G45" s="779"/>
      <c r="H45" s="517"/>
      <c r="I45" s="1015"/>
      <c r="J45" s="1017"/>
    </row>
    <row r="46" spans="2:10">
      <c r="B46" s="1120"/>
      <c r="C46" s="758" t="s">
        <v>778</v>
      </c>
      <c r="D46" s="759"/>
      <c r="E46" s="774"/>
      <c r="F46" s="779"/>
      <c r="G46" s="779"/>
      <c r="H46" s="517"/>
      <c r="I46" s="1015"/>
      <c r="J46" s="1017"/>
    </row>
    <row r="47" spans="2:10">
      <c r="B47" s="1120"/>
      <c r="C47" s="758" t="s">
        <v>867</v>
      </c>
      <c r="D47" s="758"/>
      <c r="E47" s="507"/>
      <c r="F47" s="720"/>
      <c r="G47" s="507"/>
      <c r="H47" s="517"/>
      <c r="I47" s="1015"/>
      <c r="J47" s="1017"/>
    </row>
    <row r="48" spans="2:10" ht="15.75" thickBot="1">
      <c r="B48" s="1121"/>
      <c r="C48" s="1122" t="s">
        <v>704</v>
      </c>
      <c r="D48" s="1123"/>
      <c r="E48" s="718"/>
      <c r="F48" s="722"/>
      <c r="G48" s="860" t="e">
        <f>G31+G32+G33+G34+G37+G38+G39+G40+G42+G43+G45+G46</f>
        <v>#N/A</v>
      </c>
      <c r="H48" s="1004"/>
      <c r="I48" s="1018"/>
      <c r="J48" s="1019">
        <f>J31+J32+J33+J34+J37+J38+J39+J40+J42+J43+J45+J46</f>
        <v>0</v>
      </c>
    </row>
    <row r="49" spans="2:10" s="765" customFormat="1">
      <c r="B49" s="762"/>
      <c r="C49" s="763"/>
      <c r="D49" s="763"/>
      <c r="E49" s="764">
        <v>1</v>
      </c>
      <c r="F49" s="764">
        <v>2</v>
      </c>
      <c r="G49" s="764">
        <v>3</v>
      </c>
      <c r="H49" s="764">
        <v>4</v>
      </c>
      <c r="I49" s="764">
        <v>5</v>
      </c>
      <c r="J49" s="764">
        <v>6</v>
      </c>
    </row>
    <row r="50" spans="2:10">
      <c r="B50" s="713"/>
      <c r="C50" s="714"/>
      <c r="D50" s="714"/>
      <c r="E50" s="715"/>
      <c r="F50" s="715"/>
      <c r="G50" s="715"/>
      <c r="H50" s="715"/>
      <c r="I50" s="715"/>
      <c r="J50" s="715"/>
    </row>
    <row r="51" spans="2:10">
      <c r="B51" s="713"/>
      <c r="C51" s="714"/>
      <c r="D51" s="714"/>
      <c r="E51" s="715"/>
      <c r="F51" s="715"/>
      <c r="G51" s="715"/>
      <c r="H51" s="715"/>
      <c r="I51" s="715"/>
      <c r="J51" s="715"/>
    </row>
    <row r="52" spans="2:10">
      <c r="B52" s="713"/>
      <c r="C52" s="714"/>
      <c r="D52" s="714"/>
      <c r="E52" s="715"/>
      <c r="F52" s="715"/>
      <c r="G52" s="715"/>
      <c r="H52" s="715"/>
      <c r="I52" s="715"/>
      <c r="J52" s="715"/>
    </row>
    <row r="53" spans="2:10">
      <c r="J53" s="217"/>
    </row>
    <row r="54" spans="2:10">
      <c r="B54" s="221"/>
      <c r="J54" s="217"/>
    </row>
    <row r="55" spans="2:10">
      <c r="J55" s="217"/>
    </row>
    <row r="56" spans="2:10">
      <c r="J56" s="217"/>
    </row>
    <row r="57" spans="2:10">
      <c r="J57" s="217"/>
    </row>
    <row r="58" spans="2:10">
      <c r="J58" s="217"/>
    </row>
    <row r="59" spans="2:10">
      <c r="J59" s="217"/>
    </row>
    <row r="60" spans="2:10">
      <c r="J60" s="217"/>
    </row>
    <row r="61" spans="2:10">
      <c r="J61" s="217"/>
    </row>
    <row r="62" spans="2:10">
      <c r="J62" s="217"/>
    </row>
    <row r="63" spans="2:10">
      <c r="J63" s="217"/>
    </row>
    <row r="64" spans="2:10">
      <c r="J64" s="217"/>
    </row>
    <row r="65" spans="10:10">
      <c r="J65" s="217"/>
    </row>
    <row r="66" spans="10:10">
      <c r="J66" s="217"/>
    </row>
    <row r="67" spans="10:10">
      <c r="J67" s="217"/>
    </row>
    <row r="102" spans="2:6">
      <c r="B102" s="995" t="str">
        <f>E5</f>
        <v>新Model(尚无精确参数)</v>
      </c>
      <c r="C102" s="996"/>
      <c r="D102" s="996"/>
      <c r="E102" s="996"/>
      <c r="F102" s="996"/>
    </row>
    <row r="103" spans="2:6">
      <c r="B103" s="995" t="e">
        <f>VLOOKUP(C103,$D$103:$E$140,2,FALSE)</f>
        <v>#REF!</v>
      </c>
      <c r="C103" s="997" t="e">
        <f>LARGE($D$103:$D$140,ROW(A1))</f>
        <v>#REF!</v>
      </c>
      <c r="D103" s="995" t="e">
        <f>VALUE((LEFT(E103,5))*100+ROW(A1))</f>
        <v>#REF!</v>
      </c>
      <c r="E103" s="995">
        <f t="shared" ref="E103:E140" si="0">INDEX($E$5:$DQ$5,1,ROW(A1)*3+1)</f>
        <v>0</v>
      </c>
      <c r="F103" s="996"/>
    </row>
    <row r="104" spans="2:6">
      <c r="B104" s="995" t="e">
        <f t="shared" ref="B104:B140" si="1">VLOOKUP(C104,$D$103:$E$140,2,FALSE)</f>
        <v>#REF!</v>
      </c>
      <c r="C104" s="997" t="e">
        <f t="shared" ref="C104:C140" si="2">LARGE($D$103:$D$140,ROW(A2))</f>
        <v>#REF!</v>
      </c>
      <c r="D104" s="995" t="e">
        <f t="shared" ref="D104:D140" si="3">VALUE((LEFT(E104,5))*100+ROW(A2))</f>
        <v>#REF!</v>
      </c>
      <c r="E104" s="995">
        <f t="shared" si="0"/>
        <v>0</v>
      </c>
      <c r="F104" s="996"/>
    </row>
    <row r="105" spans="2:6">
      <c r="B105" s="995" t="e">
        <f t="shared" si="1"/>
        <v>#REF!</v>
      </c>
      <c r="C105" s="997" t="e">
        <f t="shared" si="2"/>
        <v>#REF!</v>
      </c>
      <c r="D105" s="995" t="e">
        <f t="shared" si="3"/>
        <v>#REF!</v>
      </c>
      <c r="E105" s="995">
        <f t="shared" si="0"/>
        <v>0</v>
      </c>
      <c r="F105" s="996"/>
    </row>
    <row r="106" spans="2:6">
      <c r="B106" s="995" t="e">
        <f t="shared" si="1"/>
        <v>#REF!</v>
      </c>
      <c r="C106" s="997" t="e">
        <f t="shared" si="2"/>
        <v>#REF!</v>
      </c>
      <c r="D106" s="995" t="e">
        <f t="shared" si="3"/>
        <v>#REF!</v>
      </c>
      <c r="E106" s="995">
        <f t="shared" si="0"/>
        <v>0</v>
      </c>
      <c r="F106" s="996"/>
    </row>
    <row r="107" spans="2:6">
      <c r="B107" s="995" t="e">
        <f t="shared" si="1"/>
        <v>#REF!</v>
      </c>
      <c r="C107" s="997" t="e">
        <f t="shared" si="2"/>
        <v>#REF!</v>
      </c>
      <c r="D107" s="995" t="e">
        <f t="shared" si="3"/>
        <v>#REF!</v>
      </c>
      <c r="E107" s="995">
        <f t="shared" si="0"/>
        <v>0</v>
      </c>
      <c r="F107" s="996"/>
    </row>
    <row r="108" spans="2:6">
      <c r="B108" s="995" t="e">
        <f t="shared" si="1"/>
        <v>#REF!</v>
      </c>
      <c r="C108" s="997" t="e">
        <f t="shared" si="2"/>
        <v>#REF!</v>
      </c>
      <c r="D108" s="995" t="e">
        <f t="shared" si="3"/>
        <v>#REF!</v>
      </c>
      <c r="E108" s="995">
        <f t="shared" si="0"/>
        <v>0</v>
      </c>
      <c r="F108" s="996"/>
    </row>
    <row r="109" spans="2:6">
      <c r="B109" s="995" t="e">
        <f t="shared" si="1"/>
        <v>#REF!</v>
      </c>
      <c r="C109" s="997" t="e">
        <f t="shared" si="2"/>
        <v>#REF!</v>
      </c>
      <c r="D109" s="995" t="e">
        <f t="shared" si="3"/>
        <v>#REF!</v>
      </c>
      <c r="E109" s="995">
        <f t="shared" si="0"/>
        <v>0</v>
      </c>
      <c r="F109" s="996"/>
    </row>
    <row r="110" spans="2:6">
      <c r="B110" s="995" t="e">
        <f t="shared" si="1"/>
        <v>#REF!</v>
      </c>
      <c r="C110" s="997" t="e">
        <f t="shared" si="2"/>
        <v>#REF!</v>
      </c>
      <c r="D110" s="995" t="e">
        <f t="shared" si="3"/>
        <v>#REF!</v>
      </c>
      <c r="E110" s="995">
        <f t="shared" si="0"/>
        <v>0</v>
      </c>
      <c r="F110" s="996"/>
    </row>
    <row r="111" spans="2:6">
      <c r="B111" s="995" t="e">
        <f t="shared" si="1"/>
        <v>#REF!</v>
      </c>
      <c r="C111" s="997" t="e">
        <f t="shared" si="2"/>
        <v>#REF!</v>
      </c>
      <c r="D111" s="995" t="e">
        <f t="shared" si="3"/>
        <v>#REF!</v>
      </c>
      <c r="E111" s="995">
        <f t="shared" si="0"/>
        <v>0</v>
      </c>
      <c r="F111" s="996"/>
    </row>
    <row r="112" spans="2:6">
      <c r="B112" s="995" t="e">
        <f t="shared" si="1"/>
        <v>#REF!</v>
      </c>
      <c r="C112" s="997" t="e">
        <f t="shared" si="2"/>
        <v>#REF!</v>
      </c>
      <c r="D112" s="995" t="e">
        <f t="shared" si="3"/>
        <v>#REF!</v>
      </c>
      <c r="E112" s="995">
        <f t="shared" si="0"/>
        <v>0</v>
      </c>
      <c r="F112" s="996"/>
    </row>
    <row r="113" spans="2:6">
      <c r="B113" s="995" t="e">
        <f t="shared" si="1"/>
        <v>#REF!</v>
      </c>
      <c r="C113" s="997" t="e">
        <f t="shared" si="2"/>
        <v>#REF!</v>
      </c>
      <c r="D113" s="995" t="e">
        <f t="shared" si="3"/>
        <v>#REF!</v>
      </c>
      <c r="E113" s="995">
        <f t="shared" si="0"/>
        <v>0</v>
      </c>
      <c r="F113" s="996"/>
    </row>
    <row r="114" spans="2:6">
      <c r="B114" s="995" t="e">
        <f t="shared" si="1"/>
        <v>#REF!</v>
      </c>
      <c r="C114" s="997" t="e">
        <f t="shared" si="2"/>
        <v>#REF!</v>
      </c>
      <c r="D114" s="995" t="e">
        <f t="shared" si="3"/>
        <v>#REF!</v>
      </c>
      <c r="E114" s="995">
        <f t="shared" si="0"/>
        <v>0</v>
      </c>
      <c r="F114" s="996"/>
    </row>
    <row r="115" spans="2:6">
      <c r="B115" s="995" t="e">
        <f t="shared" si="1"/>
        <v>#REF!</v>
      </c>
      <c r="C115" s="997" t="e">
        <f t="shared" si="2"/>
        <v>#REF!</v>
      </c>
      <c r="D115" s="995" t="e">
        <f t="shared" si="3"/>
        <v>#REF!</v>
      </c>
      <c r="E115" s="995">
        <f t="shared" si="0"/>
        <v>0</v>
      </c>
      <c r="F115" s="996"/>
    </row>
    <row r="116" spans="2:6">
      <c r="B116" s="995" t="e">
        <f t="shared" si="1"/>
        <v>#REF!</v>
      </c>
      <c r="C116" s="997" t="e">
        <f t="shared" si="2"/>
        <v>#REF!</v>
      </c>
      <c r="D116" s="995" t="e">
        <f t="shared" si="3"/>
        <v>#REF!</v>
      </c>
      <c r="E116" s="995">
        <f t="shared" si="0"/>
        <v>0</v>
      </c>
      <c r="F116" s="996"/>
    </row>
    <row r="117" spans="2:6">
      <c r="B117" s="995" t="e">
        <f t="shared" si="1"/>
        <v>#REF!</v>
      </c>
      <c r="C117" s="997" t="e">
        <f t="shared" si="2"/>
        <v>#REF!</v>
      </c>
      <c r="D117" s="995" t="e">
        <f t="shared" si="3"/>
        <v>#REF!</v>
      </c>
      <c r="E117" s="995">
        <f t="shared" si="0"/>
        <v>0</v>
      </c>
      <c r="F117" s="996"/>
    </row>
    <row r="118" spans="2:6">
      <c r="B118" s="995" t="e">
        <f t="shared" si="1"/>
        <v>#REF!</v>
      </c>
      <c r="C118" s="997" t="e">
        <f t="shared" si="2"/>
        <v>#REF!</v>
      </c>
      <c r="D118" s="995" t="e">
        <f t="shared" si="3"/>
        <v>#REF!</v>
      </c>
      <c r="E118" s="995">
        <f t="shared" si="0"/>
        <v>0</v>
      </c>
      <c r="F118" s="996"/>
    </row>
    <row r="119" spans="2:6">
      <c r="B119" s="995" t="e">
        <f t="shared" si="1"/>
        <v>#REF!</v>
      </c>
      <c r="C119" s="997" t="e">
        <f t="shared" si="2"/>
        <v>#REF!</v>
      </c>
      <c r="D119" s="995" t="e">
        <f t="shared" si="3"/>
        <v>#REF!</v>
      </c>
      <c r="E119" s="995">
        <f t="shared" si="0"/>
        <v>0</v>
      </c>
      <c r="F119" s="996"/>
    </row>
    <row r="120" spans="2:6">
      <c r="B120" s="995" t="e">
        <f t="shared" si="1"/>
        <v>#REF!</v>
      </c>
      <c r="C120" s="997" t="e">
        <f t="shared" si="2"/>
        <v>#REF!</v>
      </c>
      <c r="D120" s="995" t="e">
        <f t="shared" si="3"/>
        <v>#REF!</v>
      </c>
      <c r="E120" s="995">
        <f t="shared" si="0"/>
        <v>0</v>
      </c>
      <c r="F120" s="996"/>
    </row>
    <row r="121" spans="2:6">
      <c r="B121" s="995" t="e">
        <f t="shared" si="1"/>
        <v>#REF!</v>
      </c>
      <c r="C121" s="997" t="e">
        <f t="shared" si="2"/>
        <v>#REF!</v>
      </c>
      <c r="D121" s="995" t="e">
        <f t="shared" si="3"/>
        <v>#REF!</v>
      </c>
      <c r="E121" s="995">
        <f t="shared" si="0"/>
        <v>0</v>
      </c>
      <c r="F121" s="996"/>
    </row>
    <row r="122" spans="2:6">
      <c r="B122" s="995" t="e">
        <f t="shared" si="1"/>
        <v>#REF!</v>
      </c>
      <c r="C122" s="997" t="e">
        <f t="shared" si="2"/>
        <v>#REF!</v>
      </c>
      <c r="D122" s="995" t="e">
        <f t="shared" si="3"/>
        <v>#REF!</v>
      </c>
      <c r="E122" s="995">
        <f t="shared" si="0"/>
        <v>0</v>
      </c>
      <c r="F122" s="996"/>
    </row>
    <row r="123" spans="2:6">
      <c r="B123" s="995" t="e">
        <f t="shared" si="1"/>
        <v>#REF!</v>
      </c>
      <c r="C123" s="997" t="e">
        <f t="shared" si="2"/>
        <v>#REF!</v>
      </c>
      <c r="D123" s="995" t="e">
        <f t="shared" si="3"/>
        <v>#REF!</v>
      </c>
      <c r="E123" s="995">
        <f t="shared" si="0"/>
        <v>0</v>
      </c>
      <c r="F123" s="996"/>
    </row>
    <row r="124" spans="2:6">
      <c r="B124" s="995" t="e">
        <f t="shared" si="1"/>
        <v>#REF!</v>
      </c>
      <c r="C124" s="997" t="e">
        <f t="shared" si="2"/>
        <v>#REF!</v>
      </c>
      <c r="D124" s="995" t="e">
        <f t="shared" si="3"/>
        <v>#REF!</v>
      </c>
      <c r="E124" s="995">
        <f t="shared" si="0"/>
        <v>0</v>
      </c>
      <c r="F124" s="996"/>
    </row>
    <row r="125" spans="2:6">
      <c r="B125" s="995" t="e">
        <f t="shared" si="1"/>
        <v>#REF!</v>
      </c>
      <c r="C125" s="997" t="e">
        <f t="shared" si="2"/>
        <v>#REF!</v>
      </c>
      <c r="D125" s="995" t="e">
        <f t="shared" si="3"/>
        <v>#REF!</v>
      </c>
      <c r="E125" s="995">
        <f t="shared" si="0"/>
        <v>0</v>
      </c>
      <c r="F125" s="996"/>
    </row>
    <row r="126" spans="2:6">
      <c r="B126" s="995" t="e">
        <f t="shared" si="1"/>
        <v>#REF!</v>
      </c>
      <c r="C126" s="997" t="e">
        <f t="shared" si="2"/>
        <v>#REF!</v>
      </c>
      <c r="D126" s="995" t="e">
        <f t="shared" si="3"/>
        <v>#REF!</v>
      </c>
      <c r="E126" s="995">
        <f t="shared" si="0"/>
        <v>0</v>
      </c>
      <c r="F126" s="996"/>
    </row>
    <row r="127" spans="2:6">
      <c r="B127" s="995" t="e">
        <f t="shared" si="1"/>
        <v>#REF!</v>
      </c>
      <c r="C127" s="997" t="e">
        <f t="shared" si="2"/>
        <v>#REF!</v>
      </c>
      <c r="D127" s="995" t="e">
        <f t="shared" si="3"/>
        <v>#REF!</v>
      </c>
      <c r="E127" s="995">
        <f t="shared" si="0"/>
        <v>0</v>
      </c>
      <c r="F127" s="996"/>
    </row>
    <row r="128" spans="2:6">
      <c r="B128" s="995" t="e">
        <f t="shared" si="1"/>
        <v>#REF!</v>
      </c>
      <c r="C128" s="997" t="e">
        <f t="shared" si="2"/>
        <v>#REF!</v>
      </c>
      <c r="D128" s="995" t="e">
        <f t="shared" si="3"/>
        <v>#REF!</v>
      </c>
      <c r="E128" s="995">
        <f t="shared" si="0"/>
        <v>0</v>
      </c>
      <c r="F128" s="996"/>
    </row>
    <row r="129" spans="2:6">
      <c r="B129" s="995" t="e">
        <f t="shared" si="1"/>
        <v>#REF!</v>
      </c>
      <c r="C129" s="997" t="e">
        <f t="shared" si="2"/>
        <v>#REF!</v>
      </c>
      <c r="D129" s="995" t="e">
        <f t="shared" si="3"/>
        <v>#REF!</v>
      </c>
      <c r="E129" s="995">
        <f t="shared" si="0"/>
        <v>0</v>
      </c>
      <c r="F129" s="996"/>
    </row>
    <row r="130" spans="2:6">
      <c r="B130" s="995" t="e">
        <f t="shared" si="1"/>
        <v>#REF!</v>
      </c>
      <c r="C130" s="997" t="e">
        <f t="shared" si="2"/>
        <v>#REF!</v>
      </c>
      <c r="D130" s="995" t="e">
        <f t="shared" si="3"/>
        <v>#REF!</v>
      </c>
      <c r="E130" s="995">
        <f t="shared" si="0"/>
        <v>0</v>
      </c>
      <c r="F130" s="996"/>
    </row>
    <row r="131" spans="2:6">
      <c r="B131" s="995" t="e">
        <f t="shared" si="1"/>
        <v>#REF!</v>
      </c>
      <c r="C131" s="997" t="e">
        <f t="shared" si="2"/>
        <v>#REF!</v>
      </c>
      <c r="D131" s="995" t="e">
        <f t="shared" si="3"/>
        <v>#REF!</v>
      </c>
      <c r="E131" s="995">
        <f t="shared" si="0"/>
        <v>0</v>
      </c>
      <c r="F131" s="996"/>
    </row>
    <row r="132" spans="2:6">
      <c r="B132" s="995" t="e">
        <f t="shared" si="1"/>
        <v>#REF!</v>
      </c>
      <c r="C132" s="997" t="e">
        <f t="shared" si="2"/>
        <v>#REF!</v>
      </c>
      <c r="D132" s="995" t="e">
        <f t="shared" si="3"/>
        <v>#REF!</v>
      </c>
      <c r="E132" s="995">
        <f t="shared" si="0"/>
        <v>0</v>
      </c>
      <c r="F132" s="996"/>
    </row>
    <row r="133" spans="2:6">
      <c r="B133" s="995" t="e">
        <f t="shared" si="1"/>
        <v>#REF!</v>
      </c>
      <c r="C133" s="997" t="e">
        <f t="shared" si="2"/>
        <v>#REF!</v>
      </c>
      <c r="D133" s="995" t="e">
        <f t="shared" si="3"/>
        <v>#REF!</v>
      </c>
      <c r="E133" s="995">
        <f t="shared" si="0"/>
        <v>0</v>
      </c>
      <c r="F133" s="996"/>
    </row>
    <row r="134" spans="2:6">
      <c r="B134" s="995" t="e">
        <f t="shared" si="1"/>
        <v>#REF!</v>
      </c>
      <c r="C134" s="997" t="e">
        <f t="shared" si="2"/>
        <v>#REF!</v>
      </c>
      <c r="D134" s="995" t="e">
        <f t="shared" si="3"/>
        <v>#REF!</v>
      </c>
      <c r="E134" s="995">
        <f t="shared" si="0"/>
        <v>0</v>
      </c>
      <c r="F134" s="996"/>
    </row>
    <row r="135" spans="2:6">
      <c r="B135" s="995" t="e">
        <f t="shared" si="1"/>
        <v>#REF!</v>
      </c>
      <c r="C135" s="997" t="e">
        <f t="shared" si="2"/>
        <v>#REF!</v>
      </c>
      <c r="D135" s="995" t="e">
        <f t="shared" si="3"/>
        <v>#REF!</v>
      </c>
      <c r="E135" s="995">
        <f t="shared" si="0"/>
        <v>0</v>
      </c>
      <c r="F135" s="996"/>
    </row>
    <row r="136" spans="2:6">
      <c r="B136" s="995" t="e">
        <f t="shared" si="1"/>
        <v>#REF!</v>
      </c>
      <c r="C136" s="997" t="e">
        <f t="shared" si="2"/>
        <v>#REF!</v>
      </c>
      <c r="D136" s="995" t="e">
        <f t="shared" si="3"/>
        <v>#REF!</v>
      </c>
      <c r="E136" s="995">
        <f t="shared" si="0"/>
        <v>0</v>
      </c>
      <c r="F136" s="996"/>
    </row>
    <row r="137" spans="2:6">
      <c r="B137" s="995" t="e">
        <f t="shared" si="1"/>
        <v>#REF!</v>
      </c>
      <c r="C137" s="997" t="e">
        <f t="shared" si="2"/>
        <v>#REF!</v>
      </c>
      <c r="D137" s="995" t="e">
        <f t="shared" si="3"/>
        <v>#REF!</v>
      </c>
      <c r="E137" s="995">
        <f t="shared" si="0"/>
        <v>0</v>
      </c>
      <c r="F137" s="996"/>
    </row>
    <row r="138" spans="2:6">
      <c r="B138" s="995" t="e">
        <f t="shared" si="1"/>
        <v>#REF!</v>
      </c>
      <c r="C138" s="997" t="e">
        <f t="shared" si="2"/>
        <v>#REF!</v>
      </c>
      <c r="D138" s="995" t="e">
        <f t="shared" si="3"/>
        <v>#REF!</v>
      </c>
      <c r="E138" s="995">
        <f t="shared" si="0"/>
        <v>0</v>
      </c>
      <c r="F138" s="996"/>
    </row>
    <row r="139" spans="2:6">
      <c r="B139" s="995" t="e">
        <f t="shared" si="1"/>
        <v>#REF!</v>
      </c>
      <c r="C139" s="997" t="e">
        <f t="shared" si="2"/>
        <v>#REF!</v>
      </c>
      <c r="D139" s="995" t="e">
        <f t="shared" si="3"/>
        <v>#REF!</v>
      </c>
      <c r="E139" s="995">
        <f t="shared" si="0"/>
        <v>0</v>
      </c>
      <c r="F139" s="996"/>
    </row>
    <row r="140" spans="2:6">
      <c r="B140" s="995" t="e">
        <f t="shared" si="1"/>
        <v>#REF!</v>
      </c>
      <c r="C140" s="997" t="e">
        <f t="shared" si="2"/>
        <v>#REF!</v>
      </c>
      <c r="D140" s="995" t="e">
        <f t="shared" si="3"/>
        <v>#REF!</v>
      </c>
      <c r="E140" s="995">
        <f t="shared" si="0"/>
        <v>0</v>
      </c>
      <c r="F140" s="996"/>
    </row>
    <row r="141" spans="2:6">
      <c r="B141" s="996"/>
      <c r="C141" s="996"/>
      <c r="D141" s="996"/>
      <c r="E141" s="996"/>
      <c r="F141" s="996"/>
    </row>
    <row r="142" spans="2:6">
      <c r="B142" s="996"/>
      <c r="C142" s="996"/>
      <c r="D142" s="996"/>
      <c r="E142" s="996"/>
      <c r="F142" s="996"/>
    </row>
    <row r="143" spans="2:6">
      <c r="B143" s="996"/>
      <c r="C143" s="996"/>
      <c r="D143" s="996"/>
      <c r="E143" s="996"/>
      <c r="F143" s="996"/>
    </row>
    <row r="144" spans="2:6">
      <c r="B144" s="996"/>
      <c r="C144" s="996"/>
      <c r="D144" s="996"/>
      <c r="E144" s="996"/>
      <c r="F144" s="996"/>
    </row>
    <row r="145" spans="2:7">
      <c r="B145" s="782"/>
    </row>
    <row r="146" spans="2:7">
      <c r="B146" s="782"/>
    </row>
    <row r="147" spans="2:7">
      <c r="B147" s="782"/>
    </row>
    <row r="148" spans="2:7">
      <c r="B148" s="782"/>
      <c r="G148" s="216"/>
    </row>
    <row r="149" spans="2:7">
      <c r="B149" s="782"/>
    </row>
    <row r="150" spans="2:7">
      <c r="B150" s="782"/>
    </row>
    <row r="151" spans="2:7">
      <c r="B151" s="782"/>
    </row>
    <row r="152" spans="2:7">
      <c r="B152" s="782"/>
    </row>
    <row r="153" spans="2:7">
      <c r="B153" s="782"/>
    </row>
    <row r="154" spans="2:7">
      <c r="B154" s="782"/>
    </row>
    <row r="155" spans="2:7">
      <c r="B155" s="782"/>
    </row>
    <row r="156" spans="2:7">
      <c r="B156" s="782"/>
    </row>
    <row r="157" spans="2:7">
      <c r="B157" s="782"/>
    </row>
    <row r="158" spans="2:7">
      <c r="B158" s="782"/>
    </row>
    <row r="159" spans="2:7">
      <c r="B159" s="782"/>
    </row>
    <row r="160" spans="2:7">
      <c r="B160" s="782"/>
    </row>
    <row r="161" spans="2:2">
      <c r="B161" s="782"/>
    </row>
    <row r="162" spans="2:2">
      <c r="B162" s="782"/>
    </row>
    <row r="163" spans="2:2">
      <c r="B163" s="782"/>
    </row>
    <row r="164" spans="2:2">
      <c r="B164" s="782"/>
    </row>
    <row r="165" spans="2:2">
      <c r="B165" s="782"/>
    </row>
    <row r="166" spans="2:2">
      <c r="B166" s="782"/>
    </row>
    <row r="167" spans="2:2">
      <c r="B167" s="782"/>
    </row>
    <row r="168" spans="2:2">
      <c r="B168" s="782"/>
    </row>
    <row r="169" spans="2:2">
      <c r="B169" s="782"/>
    </row>
    <row r="170" spans="2:2">
      <c r="B170" s="782"/>
    </row>
    <row r="171" spans="2:2">
      <c r="B171" s="782"/>
    </row>
    <row r="172" spans="2:2">
      <c r="B172" s="782"/>
    </row>
    <row r="173" spans="2:2">
      <c r="B173" s="782"/>
    </row>
    <row r="174" spans="2:2">
      <c r="B174" s="782"/>
    </row>
    <row r="175" spans="2:2">
      <c r="B175" s="782"/>
    </row>
    <row r="176" spans="2:2">
      <c r="B176" s="782"/>
    </row>
    <row r="177" spans="2:2">
      <c r="B177" s="782"/>
    </row>
    <row r="178" spans="2:2">
      <c r="B178" s="782"/>
    </row>
    <row r="179" spans="2:2">
      <c r="B179" s="782"/>
    </row>
    <row r="180" spans="2:2">
      <c r="B180" s="782"/>
    </row>
    <row r="181" spans="2:2">
      <c r="B181" s="782"/>
    </row>
    <row r="182" spans="2:2">
      <c r="B182" s="782"/>
    </row>
    <row r="183" spans="2:2">
      <c r="B183" s="782"/>
    </row>
    <row r="184" spans="2:2">
      <c r="B184" s="782"/>
    </row>
  </sheetData>
  <sheetProtection password="CCE3" sheet="1" objects="1" scenarios="1" formatCells="0" formatColumns="0" formatRows="0" insertColumns="0" insertRows="0" insertHyperlinks="0" deleteColumns="0" deleteRows="0" sort="0" autoFilter="0" pivotTables="0"/>
  <sortState ref="B146:C182">
    <sortCondition ref="B145"/>
  </sortState>
  <dataConsolidate/>
  <mergeCells count="78">
    <mergeCell ref="B7:D7"/>
    <mergeCell ref="B8:D8"/>
    <mergeCell ref="B9:D9"/>
    <mergeCell ref="B5:D5"/>
    <mergeCell ref="E5:G5"/>
    <mergeCell ref="B6:D6"/>
    <mergeCell ref="E6:G6"/>
    <mergeCell ref="E7:G7"/>
    <mergeCell ref="E8:G8"/>
    <mergeCell ref="E9:G9"/>
    <mergeCell ref="B11:D11"/>
    <mergeCell ref="E11:G11"/>
    <mergeCell ref="B10:D10"/>
    <mergeCell ref="E10:G10"/>
    <mergeCell ref="B16:D16"/>
    <mergeCell ref="E16:G16"/>
    <mergeCell ref="B14:D14"/>
    <mergeCell ref="E14:G14"/>
    <mergeCell ref="B13:D13"/>
    <mergeCell ref="E13:G13"/>
    <mergeCell ref="B12:D12"/>
    <mergeCell ref="E12:G12"/>
    <mergeCell ref="B19:D19"/>
    <mergeCell ref="E19:G19"/>
    <mergeCell ref="B30:D30"/>
    <mergeCell ref="B31:B48"/>
    <mergeCell ref="C48:D48"/>
    <mergeCell ref="B26:D26"/>
    <mergeCell ref="E26:G26"/>
    <mergeCell ref="B27:D27"/>
    <mergeCell ref="B29:D29"/>
    <mergeCell ref="E27:G27"/>
    <mergeCell ref="E28:G28"/>
    <mergeCell ref="B22:D22"/>
    <mergeCell ref="E21:G21"/>
    <mergeCell ref="B20:D20"/>
    <mergeCell ref="E20:G20"/>
    <mergeCell ref="E3:F3"/>
    <mergeCell ref="B18:D18"/>
    <mergeCell ref="E18:G18"/>
    <mergeCell ref="E29:G29"/>
    <mergeCell ref="B25:D25"/>
    <mergeCell ref="E25:G25"/>
    <mergeCell ref="B24:D24"/>
    <mergeCell ref="E24:G24"/>
    <mergeCell ref="B23:D23"/>
    <mergeCell ref="E23:G23"/>
    <mergeCell ref="B17:D17"/>
    <mergeCell ref="E17:G17"/>
    <mergeCell ref="B15:D15"/>
    <mergeCell ref="E15:G15"/>
    <mergeCell ref="E22:G22"/>
    <mergeCell ref="B21:D21"/>
    <mergeCell ref="H8:J8"/>
    <mergeCell ref="H9:J9"/>
    <mergeCell ref="H10:J10"/>
    <mergeCell ref="H5:J5"/>
    <mergeCell ref="H6:J6"/>
    <mergeCell ref="H7:J7"/>
    <mergeCell ref="H14:J14"/>
    <mergeCell ref="H15:J15"/>
    <mergeCell ref="H16:J16"/>
    <mergeCell ref="H11:J11"/>
    <mergeCell ref="H12:J12"/>
    <mergeCell ref="H13:J13"/>
    <mergeCell ref="H20:J20"/>
    <mergeCell ref="H21:J21"/>
    <mergeCell ref="H22:J22"/>
    <mergeCell ref="H17:J17"/>
    <mergeCell ref="H18:J18"/>
    <mergeCell ref="H19:J19"/>
    <mergeCell ref="H29:J29"/>
    <mergeCell ref="H26:J26"/>
    <mergeCell ref="H27:J27"/>
    <mergeCell ref="H28:J28"/>
    <mergeCell ref="H23:J23"/>
    <mergeCell ref="H24:J24"/>
    <mergeCell ref="H25:J25"/>
  </mergeCells>
  <phoneticPr fontId="5" type="noConversion"/>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AG63"/>
  <sheetViews>
    <sheetView showGridLines="0" topLeftCell="A13" zoomScaleNormal="100" workbookViewId="0">
      <selection activeCell="G15" sqref="G15"/>
    </sheetView>
  </sheetViews>
  <sheetFormatPr defaultRowHeight="15.75"/>
  <cols>
    <col min="1" max="1" width="1.875" style="105" customWidth="1" collapsed="1"/>
    <col min="2" max="2" width="17.625" style="79" customWidth="1" collapsed="1"/>
    <col min="3" max="3" width="11.875" style="79" customWidth="1" collapsed="1"/>
    <col min="4" max="4" width="9.625" style="79" bestFit="1" customWidth="1" collapsed="1"/>
    <col min="5" max="5" width="10.125" style="79" customWidth="1" collapsed="1"/>
    <col min="6" max="6" width="10.625" style="79" customWidth="1" collapsed="1"/>
    <col min="7" max="7" width="9.625" style="90" customWidth="1" collapsed="1"/>
    <col min="8" max="8" width="9.5" style="90" customWidth="1" collapsed="1"/>
    <col min="9" max="9" width="10.125" style="90" customWidth="1" collapsed="1"/>
    <col min="10" max="10" width="10.625" style="90" customWidth="1" collapsed="1"/>
    <col min="11" max="11" width="9.25" style="79" customWidth="1" collapsed="1"/>
    <col min="12" max="12" width="9.5" style="79" customWidth="1" collapsed="1"/>
    <col min="13" max="13" width="11.375" style="79" customWidth="1" collapsed="1"/>
    <col min="14" max="14" width="9.375" style="79" customWidth="1" collapsed="1"/>
    <col min="15" max="15" width="9.875" style="79" customWidth="1" collapsed="1"/>
    <col min="16" max="16" width="12.25" style="79" customWidth="1" collapsed="1"/>
    <col min="17" max="17" width="9.25" style="79" bestFit="1" customWidth="1" collapsed="1"/>
    <col min="18" max="18" width="11.375" style="79" customWidth="1" collapsed="1"/>
    <col min="19" max="19" width="11.75" style="79" customWidth="1" collapsed="1"/>
    <col min="20" max="20" width="9.625" style="79" customWidth="1" collapsed="1"/>
    <col min="21" max="21" width="10.5" style="79" customWidth="1" collapsed="1"/>
    <col min="22" max="22" width="10.75" style="80" customWidth="1" collapsed="1"/>
    <col min="23" max="23" width="10.5" style="80" customWidth="1" collapsed="1"/>
    <col min="24" max="24" width="9" style="80" customWidth="1" collapsed="1"/>
    <col min="25" max="25" width="9.5" style="80" bestFit="1" customWidth="1" collapsed="1"/>
    <col min="26" max="26" width="10.625" style="80" bestFit="1" customWidth="1" collapsed="1"/>
    <col min="27" max="27" width="9.5" style="80" bestFit="1" customWidth="1" collapsed="1"/>
    <col min="28" max="28" width="9.125" style="80" bestFit="1" customWidth="1" collapsed="1"/>
    <col min="29" max="30" width="9" style="80" collapsed="1"/>
    <col min="31" max="31" width="12" style="346" customWidth="1" collapsed="1"/>
    <col min="32" max="32" width="11.625" style="80" bestFit="1" customWidth="1" collapsed="1"/>
    <col min="33" max="33" width="12.875" style="80" bestFit="1" customWidth="1" collapsed="1"/>
    <col min="34" max="34" width="9" style="80" collapsed="1"/>
    <col min="35" max="35" width="9.125" style="80" bestFit="1" customWidth="1" collapsed="1"/>
    <col min="36" max="38" width="9" style="80" collapsed="1"/>
    <col min="39" max="39" width="9.125" style="80" bestFit="1" customWidth="1" collapsed="1"/>
    <col min="40" max="40" width="9" style="80" collapsed="1"/>
    <col min="41" max="41" width="9.125" style="80" bestFit="1" customWidth="1" collapsed="1"/>
    <col min="42" max="259" width="9" style="80" collapsed="1"/>
    <col min="260" max="260" width="1.875" style="80" customWidth="1" collapsed="1"/>
    <col min="261" max="261" width="8.625" style="80" customWidth="1" collapsed="1"/>
    <col min="262" max="262" width="9" style="80" collapsed="1"/>
    <col min="263" max="263" width="9.5" style="80" bestFit="1" customWidth="1" collapsed="1"/>
    <col min="264" max="265" width="9" style="80" collapsed="1"/>
    <col min="266" max="273" width="8.625" style="80" customWidth="1" collapsed="1"/>
    <col min="274" max="274" width="10.125" style="80" customWidth="1" collapsed="1"/>
    <col min="275" max="275" width="9.375" style="80" customWidth="1" collapsed="1"/>
    <col min="276" max="276" width="9" style="80" collapsed="1"/>
    <col min="277" max="277" width="11.375" style="80" bestFit="1" customWidth="1" collapsed="1"/>
    <col min="278" max="278" width="9" style="80" collapsed="1"/>
    <col min="279" max="280" width="9.625" style="80" customWidth="1" collapsed="1"/>
    <col min="281" max="283" width="9" style="80" collapsed="1"/>
    <col min="284" max="284" width="9.5" style="80" bestFit="1" customWidth="1" collapsed="1"/>
    <col min="285" max="515" width="9" style="80" collapsed="1"/>
    <col min="516" max="516" width="1.875" style="80" customWidth="1" collapsed="1"/>
    <col min="517" max="517" width="8.625" style="80" customWidth="1" collapsed="1"/>
    <col min="518" max="518" width="9" style="80" collapsed="1"/>
    <col min="519" max="519" width="9.5" style="80" bestFit="1" customWidth="1" collapsed="1"/>
    <col min="520" max="521" width="9" style="80" collapsed="1"/>
    <col min="522" max="529" width="8.625" style="80" customWidth="1" collapsed="1"/>
    <col min="530" max="530" width="10.125" style="80" customWidth="1" collapsed="1"/>
    <col min="531" max="531" width="9.375" style="80" customWidth="1" collapsed="1"/>
    <col min="532" max="532" width="9" style="80" collapsed="1"/>
    <col min="533" max="533" width="11.375" style="80" bestFit="1" customWidth="1" collapsed="1"/>
    <col min="534" max="534" width="9" style="80" collapsed="1"/>
    <col min="535" max="536" width="9.625" style="80" customWidth="1" collapsed="1"/>
    <col min="537" max="539" width="9" style="80" collapsed="1"/>
    <col min="540" max="540" width="9.5" style="80" bestFit="1" customWidth="1" collapsed="1"/>
    <col min="541" max="771" width="9" style="80" collapsed="1"/>
    <col min="772" max="772" width="1.875" style="80" customWidth="1" collapsed="1"/>
    <col min="773" max="773" width="8.625" style="80" customWidth="1" collapsed="1"/>
    <col min="774" max="774" width="9" style="80" collapsed="1"/>
    <col min="775" max="775" width="9.5" style="80" bestFit="1" customWidth="1" collapsed="1"/>
    <col min="776" max="777" width="9" style="80" collapsed="1"/>
    <col min="778" max="785" width="8.625" style="80" customWidth="1" collapsed="1"/>
    <col min="786" max="786" width="10.125" style="80" customWidth="1" collapsed="1"/>
    <col min="787" max="787" width="9.375" style="80" customWidth="1" collapsed="1"/>
    <col min="788" max="788" width="9" style="80" collapsed="1"/>
    <col min="789" max="789" width="11.375" style="80" bestFit="1" customWidth="1" collapsed="1"/>
    <col min="790" max="790" width="9" style="80" collapsed="1"/>
    <col min="791" max="792" width="9.625" style="80" customWidth="1" collapsed="1"/>
    <col min="793" max="795" width="9" style="80" collapsed="1"/>
    <col min="796" max="796" width="9.5" style="80" bestFit="1" customWidth="1" collapsed="1"/>
    <col min="797" max="1027" width="9" style="80" collapsed="1"/>
    <col min="1028" max="1028" width="1.875" style="80" customWidth="1" collapsed="1"/>
    <col min="1029" max="1029" width="8.625" style="80" customWidth="1" collapsed="1"/>
    <col min="1030" max="1030" width="9" style="80" collapsed="1"/>
    <col min="1031" max="1031" width="9.5" style="80" bestFit="1" customWidth="1" collapsed="1"/>
    <col min="1032" max="1033" width="9" style="80" collapsed="1"/>
    <col min="1034" max="1041" width="8.625" style="80" customWidth="1" collapsed="1"/>
    <col min="1042" max="1042" width="10.125" style="80" customWidth="1" collapsed="1"/>
    <col min="1043" max="1043" width="9.375" style="80" customWidth="1" collapsed="1"/>
    <col min="1044" max="1044" width="9" style="80" collapsed="1"/>
    <col min="1045" max="1045" width="11.375" style="80" bestFit="1" customWidth="1" collapsed="1"/>
    <col min="1046" max="1046" width="9" style="80" collapsed="1"/>
    <col min="1047" max="1048" width="9.625" style="80" customWidth="1" collapsed="1"/>
    <col min="1049" max="1051" width="9" style="80" collapsed="1"/>
    <col min="1052" max="1052" width="9.5" style="80" bestFit="1" customWidth="1" collapsed="1"/>
    <col min="1053" max="1283" width="9" style="80" collapsed="1"/>
    <col min="1284" max="1284" width="1.875" style="80" customWidth="1" collapsed="1"/>
    <col min="1285" max="1285" width="8.625" style="80" customWidth="1" collapsed="1"/>
    <col min="1286" max="1286" width="9" style="80" collapsed="1"/>
    <col min="1287" max="1287" width="9.5" style="80" bestFit="1" customWidth="1" collapsed="1"/>
    <col min="1288" max="1289" width="9" style="80" collapsed="1"/>
    <col min="1290" max="1297" width="8.625" style="80" customWidth="1" collapsed="1"/>
    <col min="1298" max="1298" width="10.125" style="80" customWidth="1" collapsed="1"/>
    <col min="1299" max="1299" width="9.375" style="80" customWidth="1" collapsed="1"/>
    <col min="1300" max="1300" width="9" style="80" collapsed="1"/>
    <col min="1301" max="1301" width="11.375" style="80" bestFit="1" customWidth="1" collapsed="1"/>
    <col min="1302" max="1302" width="9" style="80" collapsed="1"/>
    <col min="1303" max="1304" width="9.625" style="80" customWidth="1" collapsed="1"/>
    <col min="1305" max="1307" width="9" style="80" collapsed="1"/>
    <col min="1308" max="1308" width="9.5" style="80" bestFit="1" customWidth="1" collapsed="1"/>
    <col min="1309" max="1539" width="9" style="80" collapsed="1"/>
    <col min="1540" max="1540" width="1.875" style="80" customWidth="1" collapsed="1"/>
    <col min="1541" max="1541" width="8.625" style="80" customWidth="1" collapsed="1"/>
    <col min="1542" max="1542" width="9" style="80" collapsed="1"/>
    <col min="1543" max="1543" width="9.5" style="80" bestFit="1" customWidth="1" collapsed="1"/>
    <col min="1544" max="1545" width="9" style="80" collapsed="1"/>
    <col min="1546" max="1553" width="8.625" style="80" customWidth="1" collapsed="1"/>
    <col min="1554" max="1554" width="10.125" style="80" customWidth="1" collapsed="1"/>
    <col min="1555" max="1555" width="9.375" style="80" customWidth="1" collapsed="1"/>
    <col min="1556" max="1556" width="9" style="80" collapsed="1"/>
    <col min="1557" max="1557" width="11.375" style="80" bestFit="1" customWidth="1" collapsed="1"/>
    <col min="1558" max="1558" width="9" style="80" collapsed="1"/>
    <col min="1559" max="1560" width="9.625" style="80" customWidth="1" collapsed="1"/>
    <col min="1561" max="1563" width="9" style="80" collapsed="1"/>
    <col min="1564" max="1564" width="9.5" style="80" bestFit="1" customWidth="1" collapsed="1"/>
    <col min="1565" max="1795" width="9" style="80" collapsed="1"/>
    <col min="1796" max="1796" width="1.875" style="80" customWidth="1" collapsed="1"/>
    <col min="1797" max="1797" width="8.625" style="80" customWidth="1" collapsed="1"/>
    <col min="1798" max="1798" width="9" style="80" collapsed="1"/>
    <col min="1799" max="1799" width="9.5" style="80" bestFit="1" customWidth="1" collapsed="1"/>
    <col min="1800" max="1801" width="9" style="80" collapsed="1"/>
    <col min="1802" max="1809" width="8.625" style="80" customWidth="1" collapsed="1"/>
    <col min="1810" max="1810" width="10.125" style="80" customWidth="1" collapsed="1"/>
    <col min="1811" max="1811" width="9.375" style="80" customWidth="1" collapsed="1"/>
    <col min="1812" max="1812" width="9" style="80" collapsed="1"/>
    <col min="1813" max="1813" width="11.375" style="80" bestFit="1" customWidth="1" collapsed="1"/>
    <col min="1814" max="1814" width="9" style="80" collapsed="1"/>
    <col min="1815" max="1816" width="9.625" style="80" customWidth="1" collapsed="1"/>
    <col min="1817" max="1819" width="9" style="80" collapsed="1"/>
    <col min="1820" max="1820" width="9.5" style="80" bestFit="1" customWidth="1" collapsed="1"/>
    <col min="1821" max="2051" width="9" style="80" collapsed="1"/>
    <col min="2052" max="2052" width="1.875" style="80" customWidth="1" collapsed="1"/>
    <col min="2053" max="2053" width="8.625" style="80" customWidth="1" collapsed="1"/>
    <col min="2054" max="2054" width="9" style="80" collapsed="1"/>
    <col min="2055" max="2055" width="9.5" style="80" bestFit="1" customWidth="1" collapsed="1"/>
    <col min="2056" max="2057" width="9" style="80" collapsed="1"/>
    <col min="2058" max="2065" width="8.625" style="80" customWidth="1" collapsed="1"/>
    <col min="2066" max="2066" width="10.125" style="80" customWidth="1" collapsed="1"/>
    <col min="2067" max="2067" width="9.375" style="80" customWidth="1" collapsed="1"/>
    <col min="2068" max="2068" width="9" style="80" collapsed="1"/>
    <col min="2069" max="2069" width="11.375" style="80" bestFit="1" customWidth="1" collapsed="1"/>
    <col min="2070" max="2070" width="9" style="80" collapsed="1"/>
    <col min="2071" max="2072" width="9.625" style="80" customWidth="1" collapsed="1"/>
    <col min="2073" max="2075" width="9" style="80" collapsed="1"/>
    <col min="2076" max="2076" width="9.5" style="80" bestFit="1" customWidth="1" collapsed="1"/>
    <col min="2077" max="2307" width="9" style="80" collapsed="1"/>
    <col min="2308" max="2308" width="1.875" style="80" customWidth="1" collapsed="1"/>
    <col min="2309" max="2309" width="8.625" style="80" customWidth="1" collapsed="1"/>
    <col min="2310" max="2310" width="9" style="80" collapsed="1"/>
    <col min="2311" max="2311" width="9.5" style="80" bestFit="1" customWidth="1" collapsed="1"/>
    <col min="2312" max="2313" width="9" style="80" collapsed="1"/>
    <col min="2314" max="2321" width="8.625" style="80" customWidth="1" collapsed="1"/>
    <col min="2322" max="2322" width="10.125" style="80" customWidth="1" collapsed="1"/>
    <col min="2323" max="2323" width="9.375" style="80" customWidth="1" collapsed="1"/>
    <col min="2324" max="2324" width="9" style="80" collapsed="1"/>
    <col min="2325" max="2325" width="11.375" style="80" bestFit="1" customWidth="1" collapsed="1"/>
    <col min="2326" max="2326" width="9" style="80" collapsed="1"/>
    <col min="2327" max="2328" width="9.625" style="80" customWidth="1" collapsed="1"/>
    <col min="2329" max="2331" width="9" style="80" collapsed="1"/>
    <col min="2332" max="2332" width="9.5" style="80" bestFit="1" customWidth="1" collapsed="1"/>
    <col min="2333" max="2563" width="9" style="80" collapsed="1"/>
    <col min="2564" max="2564" width="1.875" style="80" customWidth="1" collapsed="1"/>
    <col min="2565" max="2565" width="8.625" style="80" customWidth="1" collapsed="1"/>
    <col min="2566" max="2566" width="9" style="80" collapsed="1"/>
    <col min="2567" max="2567" width="9.5" style="80" bestFit="1" customWidth="1" collapsed="1"/>
    <col min="2568" max="2569" width="9" style="80" collapsed="1"/>
    <col min="2570" max="2577" width="8.625" style="80" customWidth="1" collapsed="1"/>
    <col min="2578" max="2578" width="10.125" style="80" customWidth="1" collapsed="1"/>
    <col min="2579" max="2579" width="9.375" style="80" customWidth="1" collapsed="1"/>
    <col min="2580" max="2580" width="9" style="80" collapsed="1"/>
    <col min="2581" max="2581" width="11.375" style="80" bestFit="1" customWidth="1" collapsed="1"/>
    <col min="2582" max="2582" width="9" style="80" collapsed="1"/>
    <col min="2583" max="2584" width="9.625" style="80" customWidth="1" collapsed="1"/>
    <col min="2585" max="2587" width="9" style="80" collapsed="1"/>
    <col min="2588" max="2588" width="9.5" style="80" bestFit="1" customWidth="1" collapsed="1"/>
    <col min="2589" max="2819" width="9" style="80" collapsed="1"/>
    <col min="2820" max="2820" width="1.875" style="80" customWidth="1" collapsed="1"/>
    <col min="2821" max="2821" width="8.625" style="80" customWidth="1" collapsed="1"/>
    <col min="2822" max="2822" width="9" style="80" collapsed="1"/>
    <col min="2823" max="2823" width="9.5" style="80" bestFit="1" customWidth="1" collapsed="1"/>
    <col min="2824" max="2825" width="9" style="80" collapsed="1"/>
    <col min="2826" max="2833" width="8.625" style="80" customWidth="1" collapsed="1"/>
    <col min="2834" max="2834" width="10.125" style="80" customWidth="1" collapsed="1"/>
    <col min="2835" max="2835" width="9.375" style="80" customWidth="1" collapsed="1"/>
    <col min="2836" max="2836" width="9" style="80" collapsed="1"/>
    <col min="2837" max="2837" width="11.375" style="80" bestFit="1" customWidth="1" collapsed="1"/>
    <col min="2838" max="2838" width="9" style="80" collapsed="1"/>
    <col min="2839" max="2840" width="9.625" style="80" customWidth="1" collapsed="1"/>
    <col min="2841" max="2843" width="9" style="80" collapsed="1"/>
    <col min="2844" max="2844" width="9.5" style="80" bestFit="1" customWidth="1" collapsed="1"/>
    <col min="2845" max="3075" width="9" style="80" collapsed="1"/>
    <col min="3076" max="3076" width="1.875" style="80" customWidth="1" collapsed="1"/>
    <col min="3077" max="3077" width="8.625" style="80" customWidth="1" collapsed="1"/>
    <col min="3078" max="3078" width="9" style="80" collapsed="1"/>
    <col min="3079" max="3079" width="9.5" style="80" bestFit="1" customWidth="1" collapsed="1"/>
    <col min="3080" max="3081" width="9" style="80" collapsed="1"/>
    <col min="3082" max="3089" width="8.625" style="80" customWidth="1" collapsed="1"/>
    <col min="3090" max="3090" width="10.125" style="80" customWidth="1" collapsed="1"/>
    <col min="3091" max="3091" width="9.375" style="80" customWidth="1" collapsed="1"/>
    <col min="3092" max="3092" width="9" style="80" collapsed="1"/>
    <col min="3093" max="3093" width="11.375" style="80" bestFit="1" customWidth="1" collapsed="1"/>
    <col min="3094" max="3094" width="9" style="80" collapsed="1"/>
    <col min="3095" max="3096" width="9.625" style="80" customWidth="1" collapsed="1"/>
    <col min="3097" max="3099" width="9" style="80" collapsed="1"/>
    <col min="3100" max="3100" width="9.5" style="80" bestFit="1" customWidth="1" collapsed="1"/>
    <col min="3101" max="3331" width="9" style="80" collapsed="1"/>
    <col min="3332" max="3332" width="1.875" style="80" customWidth="1" collapsed="1"/>
    <col min="3333" max="3333" width="8.625" style="80" customWidth="1" collapsed="1"/>
    <col min="3334" max="3334" width="9" style="80" collapsed="1"/>
    <col min="3335" max="3335" width="9.5" style="80" bestFit="1" customWidth="1" collapsed="1"/>
    <col min="3336" max="3337" width="9" style="80" collapsed="1"/>
    <col min="3338" max="3345" width="8.625" style="80" customWidth="1" collapsed="1"/>
    <col min="3346" max="3346" width="10.125" style="80" customWidth="1" collapsed="1"/>
    <col min="3347" max="3347" width="9.375" style="80" customWidth="1" collapsed="1"/>
    <col min="3348" max="3348" width="9" style="80" collapsed="1"/>
    <col min="3349" max="3349" width="11.375" style="80" bestFit="1" customWidth="1" collapsed="1"/>
    <col min="3350" max="3350" width="9" style="80" collapsed="1"/>
    <col min="3351" max="3352" width="9.625" style="80" customWidth="1" collapsed="1"/>
    <col min="3353" max="3355" width="9" style="80" collapsed="1"/>
    <col min="3356" max="3356" width="9.5" style="80" bestFit="1" customWidth="1" collapsed="1"/>
    <col min="3357" max="3587" width="9" style="80" collapsed="1"/>
    <col min="3588" max="3588" width="1.875" style="80" customWidth="1" collapsed="1"/>
    <col min="3589" max="3589" width="8.625" style="80" customWidth="1" collapsed="1"/>
    <col min="3590" max="3590" width="9" style="80" collapsed="1"/>
    <col min="3591" max="3591" width="9.5" style="80" bestFit="1" customWidth="1" collapsed="1"/>
    <col min="3592" max="3593" width="9" style="80" collapsed="1"/>
    <col min="3594" max="3601" width="8.625" style="80" customWidth="1" collapsed="1"/>
    <col min="3602" max="3602" width="10.125" style="80" customWidth="1" collapsed="1"/>
    <col min="3603" max="3603" width="9.375" style="80" customWidth="1" collapsed="1"/>
    <col min="3604" max="3604" width="9" style="80" collapsed="1"/>
    <col min="3605" max="3605" width="11.375" style="80" bestFit="1" customWidth="1" collapsed="1"/>
    <col min="3606" max="3606" width="9" style="80" collapsed="1"/>
    <col min="3607" max="3608" width="9.625" style="80" customWidth="1" collapsed="1"/>
    <col min="3609" max="3611" width="9" style="80" collapsed="1"/>
    <col min="3612" max="3612" width="9.5" style="80" bestFit="1" customWidth="1" collapsed="1"/>
    <col min="3613" max="3843" width="9" style="80" collapsed="1"/>
    <col min="3844" max="3844" width="1.875" style="80" customWidth="1" collapsed="1"/>
    <col min="3845" max="3845" width="8.625" style="80" customWidth="1" collapsed="1"/>
    <col min="3846" max="3846" width="9" style="80" collapsed="1"/>
    <col min="3847" max="3847" width="9.5" style="80" bestFit="1" customWidth="1" collapsed="1"/>
    <col min="3848" max="3849" width="9" style="80" collapsed="1"/>
    <col min="3850" max="3857" width="8.625" style="80" customWidth="1" collapsed="1"/>
    <col min="3858" max="3858" width="10.125" style="80" customWidth="1" collapsed="1"/>
    <col min="3859" max="3859" width="9.375" style="80" customWidth="1" collapsed="1"/>
    <col min="3860" max="3860" width="9" style="80" collapsed="1"/>
    <col min="3861" max="3861" width="11.375" style="80" bestFit="1" customWidth="1" collapsed="1"/>
    <col min="3862" max="3862" width="9" style="80" collapsed="1"/>
    <col min="3863" max="3864" width="9.625" style="80" customWidth="1" collapsed="1"/>
    <col min="3865" max="3867" width="9" style="80" collapsed="1"/>
    <col min="3868" max="3868" width="9.5" style="80" bestFit="1" customWidth="1" collapsed="1"/>
    <col min="3869" max="4099" width="9" style="80" collapsed="1"/>
    <col min="4100" max="4100" width="1.875" style="80" customWidth="1" collapsed="1"/>
    <col min="4101" max="4101" width="8.625" style="80" customWidth="1" collapsed="1"/>
    <col min="4102" max="4102" width="9" style="80" collapsed="1"/>
    <col min="4103" max="4103" width="9.5" style="80" bestFit="1" customWidth="1" collapsed="1"/>
    <col min="4104" max="4105" width="9" style="80" collapsed="1"/>
    <col min="4106" max="4113" width="8.625" style="80" customWidth="1" collapsed="1"/>
    <col min="4114" max="4114" width="10.125" style="80" customWidth="1" collapsed="1"/>
    <col min="4115" max="4115" width="9.375" style="80" customWidth="1" collapsed="1"/>
    <col min="4116" max="4116" width="9" style="80" collapsed="1"/>
    <col min="4117" max="4117" width="11.375" style="80" bestFit="1" customWidth="1" collapsed="1"/>
    <col min="4118" max="4118" width="9" style="80" collapsed="1"/>
    <col min="4119" max="4120" width="9.625" style="80" customWidth="1" collapsed="1"/>
    <col min="4121" max="4123" width="9" style="80" collapsed="1"/>
    <col min="4124" max="4124" width="9.5" style="80" bestFit="1" customWidth="1" collapsed="1"/>
    <col min="4125" max="4355" width="9" style="80" collapsed="1"/>
    <col min="4356" max="4356" width="1.875" style="80" customWidth="1" collapsed="1"/>
    <col min="4357" max="4357" width="8.625" style="80" customWidth="1" collapsed="1"/>
    <col min="4358" max="4358" width="9" style="80" collapsed="1"/>
    <col min="4359" max="4359" width="9.5" style="80" bestFit="1" customWidth="1" collapsed="1"/>
    <col min="4360" max="4361" width="9" style="80" collapsed="1"/>
    <col min="4362" max="4369" width="8.625" style="80" customWidth="1" collapsed="1"/>
    <col min="4370" max="4370" width="10.125" style="80" customWidth="1" collapsed="1"/>
    <col min="4371" max="4371" width="9.375" style="80" customWidth="1" collapsed="1"/>
    <col min="4372" max="4372" width="9" style="80" collapsed="1"/>
    <col min="4373" max="4373" width="11.375" style="80" bestFit="1" customWidth="1" collapsed="1"/>
    <col min="4374" max="4374" width="9" style="80" collapsed="1"/>
    <col min="4375" max="4376" width="9.625" style="80" customWidth="1" collapsed="1"/>
    <col min="4377" max="4379" width="9" style="80" collapsed="1"/>
    <col min="4380" max="4380" width="9.5" style="80" bestFit="1" customWidth="1" collapsed="1"/>
    <col min="4381" max="4611" width="9" style="80" collapsed="1"/>
    <col min="4612" max="4612" width="1.875" style="80" customWidth="1" collapsed="1"/>
    <col min="4613" max="4613" width="8.625" style="80" customWidth="1" collapsed="1"/>
    <col min="4614" max="4614" width="9" style="80" collapsed="1"/>
    <col min="4615" max="4615" width="9.5" style="80" bestFit="1" customWidth="1" collapsed="1"/>
    <col min="4616" max="4617" width="9" style="80" collapsed="1"/>
    <col min="4618" max="4625" width="8.625" style="80" customWidth="1" collapsed="1"/>
    <col min="4626" max="4626" width="10.125" style="80" customWidth="1" collapsed="1"/>
    <col min="4627" max="4627" width="9.375" style="80" customWidth="1" collapsed="1"/>
    <col min="4628" max="4628" width="9" style="80" collapsed="1"/>
    <col min="4629" max="4629" width="11.375" style="80" bestFit="1" customWidth="1" collapsed="1"/>
    <col min="4630" max="4630" width="9" style="80" collapsed="1"/>
    <col min="4631" max="4632" width="9.625" style="80" customWidth="1" collapsed="1"/>
    <col min="4633" max="4635" width="9" style="80" collapsed="1"/>
    <col min="4636" max="4636" width="9.5" style="80" bestFit="1" customWidth="1" collapsed="1"/>
    <col min="4637" max="4867" width="9" style="80" collapsed="1"/>
    <col min="4868" max="4868" width="1.875" style="80" customWidth="1" collapsed="1"/>
    <col min="4869" max="4869" width="8.625" style="80" customWidth="1" collapsed="1"/>
    <col min="4870" max="4870" width="9" style="80" collapsed="1"/>
    <col min="4871" max="4871" width="9.5" style="80" bestFit="1" customWidth="1" collapsed="1"/>
    <col min="4872" max="4873" width="9" style="80" collapsed="1"/>
    <col min="4874" max="4881" width="8.625" style="80" customWidth="1" collapsed="1"/>
    <col min="4882" max="4882" width="10.125" style="80" customWidth="1" collapsed="1"/>
    <col min="4883" max="4883" width="9.375" style="80" customWidth="1" collapsed="1"/>
    <col min="4884" max="4884" width="9" style="80" collapsed="1"/>
    <col min="4885" max="4885" width="11.375" style="80" bestFit="1" customWidth="1" collapsed="1"/>
    <col min="4886" max="4886" width="9" style="80" collapsed="1"/>
    <col min="4887" max="4888" width="9.625" style="80" customWidth="1" collapsed="1"/>
    <col min="4889" max="4891" width="9" style="80" collapsed="1"/>
    <col min="4892" max="4892" width="9.5" style="80" bestFit="1" customWidth="1" collapsed="1"/>
    <col min="4893" max="5123" width="9" style="80" collapsed="1"/>
    <col min="5124" max="5124" width="1.875" style="80" customWidth="1" collapsed="1"/>
    <col min="5125" max="5125" width="8.625" style="80" customWidth="1" collapsed="1"/>
    <col min="5126" max="5126" width="9" style="80" collapsed="1"/>
    <col min="5127" max="5127" width="9.5" style="80" bestFit="1" customWidth="1" collapsed="1"/>
    <col min="5128" max="5129" width="9" style="80" collapsed="1"/>
    <col min="5130" max="5137" width="8.625" style="80" customWidth="1" collapsed="1"/>
    <col min="5138" max="5138" width="10.125" style="80" customWidth="1" collapsed="1"/>
    <col min="5139" max="5139" width="9.375" style="80" customWidth="1" collapsed="1"/>
    <col min="5140" max="5140" width="9" style="80" collapsed="1"/>
    <col min="5141" max="5141" width="11.375" style="80" bestFit="1" customWidth="1" collapsed="1"/>
    <col min="5142" max="5142" width="9" style="80" collapsed="1"/>
    <col min="5143" max="5144" width="9.625" style="80" customWidth="1" collapsed="1"/>
    <col min="5145" max="5147" width="9" style="80" collapsed="1"/>
    <col min="5148" max="5148" width="9.5" style="80" bestFit="1" customWidth="1" collapsed="1"/>
    <col min="5149" max="5379" width="9" style="80" collapsed="1"/>
    <col min="5380" max="5380" width="1.875" style="80" customWidth="1" collapsed="1"/>
    <col min="5381" max="5381" width="8.625" style="80" customWidth="1" collapsed="1"/>
    <col min="5382" max="5382" width="9" style="80" collapsed="1"/>
    <col min="5383" max="5383" width="9.5" style="80" bestFit="1" customWidth="1" collapsed="1"/>
    <col min="5384" max="5385" width="9" style="80" collapsed="1"/>
    <col min="5386" max="5393" width="8.625" style="80" customWidth="1" collapsed="1"/>
    <col min="5394" max="5394" width="10.125" style="80" customWidth="1" collapsed="1"/>
    <col min="5395" max="5395" width="9.375" style="80" customWidth="1" collapsed="1"/>
    <col min="5396" max="5396" width="9" style="80" collapsed="1"/>
    <col min="5397" max="5397" width="11.375" style="80" bestFit="1" customWidth="1" collapsed="1"/>
    <col min="5398" max="5398" width="9" style="80" collapsed="1"/>
    <col min="5399" max="5400" width="9.625" style="80" customWidth="1" collapsed="1"/>
    <col min="5401" max="5403" width="9" style="80" collapsed="1"/>
    <col min="5404" max="5404" width="9.5" style="80" bestFit="1" customWidth="1" collapsed="1"/>
    <col min="5405" max="5635" width="9" style="80" collapsed="1"/>
    <col min="5636" max="5636" width="1.875" style="80" customWidth="1" collapsed="1"/>
    <col min="5637" max="5637" width="8.625" style="80" customWidth="1" collapsed="1"/>
    <col min="5638" max="5638" width="9" style="80" collapsed="1"/>
    <col min="5639" max="5639" width="9.5" style="80" bestFit="1" customWidth="1" collapsed="1"/>
    <col min="5640" max="5641" width="9" style="80" collapsed="1"/>
    <col min="5642" max="5649" width="8.625" style="80" customWidth="1" collapsed="1"/>
    <col min="5650" max="5650" width="10.125" style="80" customWidth="1" collapsed="1"/>
    <col min="5651" max="5651" width="9.375" style="80" customWidth="1" collapsed="1"/>
    <col min="5652" max="5652" width="9" style="80" collapsed="1"/>
    <col min="5653" max="5653" width="11.375" style="80" bestFit="1" customWidth="1" collapsed="1"/>
    <col min="5654" max="5654" width="9" style="80" collapsed="1"/>
    <col min="5655" max="5656" width="9.625" style="80" customWidth="1" collapsed="1"/>
    <col min="5657" max="5659" width="9" style="80" collapsed="1"/>
    <col min="5660" max="5660" width="9.5" style="80" bestFit="1" customWidth="1" collapsed="1"/>
    <col min="5661" max="5891" width="9" style="80" collapsed="1"/>
    <col min="5892" max="5892" width="1.875" style="80" customWidth="1" collapsed="1"/>
    <col min="5893" max="5893" width="8.625" style="80" customWidth="1" collapsed="1"/>
    <col min="5894" max="5894" width="9" style="80" collapsed="1"/>
    <col min="5895" max="5895" width="9.5" style="80" bestFit="1" customWidth="1" collapsed="1"/>
    <col min="5896" max="5897" width="9" style="80" collapsed="1"/>
    <col min="5898" max="5905" width="8.625" style="80" customWidth="1" collapsed="1"/>
    <col min="5906" max="5906" width="10.125" style="80" customWidth="1" collapsed="1"/>
    <col min="5907" max="5907" width="9.375" style="80" customWidth="1" collapsed="1"/>
    <col min="5908" max="5908" width="9" style="80" collapsed="1"/>
    <col min="5909" max="5909" width="11.375" style="80" bestFit="1" customWidth="1" collapsed="1"/>
    <col min="5910" max="5910" width="9" style="80" collapsed="1"/>
    <col min="5911" max="5912" width="9.625" style="80" customWidth="1" collapsed="1"/>
    <col min="5913" max="5915" width="9" style="80" collapsed="1"/>
    <col min="5916" max="5916" width="9.5" style="80" bestFit="1" customWidth="1" collapsed="1"/>
    <col min="5917" max="6147" width="9" style="80" collapsed="1"/>
    <col min="6148" max="6148" width="1.875" style="80" customWidth="1" collapsed="1"/>
    <col min="6149" max="6149" width="8.625" style="80" customWidth="1" collapsed="1"/>
    <col min="6150" max="6150" width="9" style="80" collapsed="1"/>
    <col min="6151" max="6151" width="9.5" style="80" bestFit="1" customWidth="1" collapsed="1"/>
    <col min="6152" max="6153" width="9" style="80" collapsed="1"/>
    <col min="6154" max="6161" width="8.625" style="80" customWidth="1" collapsed="1"/>
    <col min="6162" max="6162" width="10.125" style="80" customWidth="1" collapsed="1"/>
    <col min="6163" max="6163" width="9.375" style="80" customWidth="1" collapsed="1"/>
    <col min="6164" max="6164" width="9" style="80" collapsed="1"/>
    <col min="6165" max="6165" width="11.375" style="80" bestFit="1" customWidth="1" collapsed="1"/>
    <col min="6166" max="6166" width="9" style="80" collapsed="1"/>
    <col min="6167" max="6168" width="9.625" style="80" customWidth="1" collapsed="1"/>
    <col min="6169" max="6171" width="9" style="80" collapsed="1"/>
    <col min="6172" max="6172" width="9.5" style="80" bestFit="1" customWidth="1" collapsed="1"/>
    <col min="6173" max="6403" width="9" style="80" collapsed="1"/>
    <col min="6404" max="6404" width="1.875" style="80" customWidth="1" collapsed="1"/>
    <col min="6405" max="6405" width="8.625" style="80" customWidth="1" collapsed="1"/>
    <col min="6406" max="6406" width="9" style="80" collapsed="1"/>
    <col min="6407" max="6407" width="9.5" style="80" bestFit="1" customWidth="1" collapsed="1"/>
    <col min="6408" max="6409" width="9" style="80" collapsed="1"/>
    <col min="6410" max="6417" width="8.625" style="80" customWidth="1" collapsed="1"/>
    <col min="6418" max="6418" width="10.125" style="80" customWidth="1" collapsed="1"/>
    <col min="6419" max="6419" width="9.375" style="80" customWidth="1" collapsed="1"/>
    <col min="6420" max="6420" width="9" style="80" collapsed="1"/>
    <col min="6421" max="6421" width="11.375" style="80" bestFit="1" customWidth="1" collapsed="1"/>
    <col min="6422" max="6422" width="9" style="80" collapsed="1"/>
    <col min="6423" max="6424" width="9.625" style="80" customWidth="1" collapsed="1"/>
    <col min="6425" max="6427" width="9" style="80" collapsed="1"/>
    <col min="6428" max="6428" width="9.5" style="80" bestFit="1" customWidth="1" collapsed="1"/>
    <col min="6429" max="6659" width="9" style="80" collapsed="1"/>
    <col min="6660" max="6660" width="1.875" style="80" customWidth="1" collapsed="1"/>
    <col min="6661" max="6661" width="8.625" style="80" customWidth="1" collapsed="1"/>
    <col min="6662" max="6662" width="9" style="80" collapsed="1"/>
    <col min="6663" max="6663" width="9.5" style="80" bestFit="1" customWidth="1" collapsed="1"/>
    <col min="6664" max="6665" width="9" style="80" collapsed="1"/>
    <col min="6666" max="6673" width="8.625" style="80" customWidth="1" collapsed="1"/>
    <col min="6674" max="6674" width="10.125" style="80" customWidth="1" collapsed="1"/>
    <col min="6675" max="6675" width="9.375" style="80" customWidth="1" collapsed="1"/>
    <col min="6676" max="6676" width="9" style="80" collapsed="1"/>
    <col min="6677" max="6677" width="11.375" style="80" bestFit="1" customWidth="1" collapsed="1"/>
    <col min="6678" max="6678" width="9" style="80" collapsed="1"/>
    <col min="6679" max="6680" width="9.625" style="80" customWidth="1" collapsed="1"/>
    <col min="6681" max="6683" width="9" style="80" collapsed="1"/>
    <col min="6684" max="6684" width="9.5" style="80" bestFit="1" customWidth="1" collapsed="1"/>
    <col min="6685" max="6915" width="9" style="80" collapsed="1"/>
    <col min="6916" max="6916" width="1.875" style="80" customWidth="1" collapsed="1"/>
    <col min="6917" max="6917" width="8.625" style="80" customWidth="1" collapsed="1"/>
    <col min="6918" max="6918" width="9" style="80" collapsed="1"/>
    <col min="6919" max="6919" width="9.5" style="80" bestFit="1" customWidth="1" collapsed="1"/>
    <col min="6920" max="6921" width="9" style="80" collapsed="1"/>
    <col min="6922" max="6929" width="8.625" style="80" customWidth="1" collapsed="1"/>
    <col min="6930" max="6930" width="10.125" style="80" customWidth="1" collapsed="1"/>
    <col min="6931" max="6931" width="9.375" style="80" customWidth="1" collapsed="1"/>
    <col min="6932" max="6932" width="9" style="80" collapsed="1"/>
    <col min="6933" max="6933" width="11.375" style="80" bestFit="1" customWidth="1" collapsed="1"/>
    <col min="6934" max="6934" width="9" style="80" collapsed="1"/>
    <col min="6935" max="6936" width="9.625" style="80" customWidth="1" collapsed="1"/>
    <col min="6937" max="6939" width="9" style="80" collapsed="1"/>
    <col min="6940" max="6940" width="9.5" style="80" bestFit="1" customWidth="1" collapsed="1"/>
    <col min="6941" max="7171" width="9" style="80" collapsed="1"/>
    <col min="7172" max="7172" width="1.875" style="80" customWidth="1" collapsed="1"/>
    <col min="7173" max="7173" width="8.625" style="80" customWidth="1" collapsed="1"/>
    <col min="7174" max="7174" width="9" style="80" collapsed="1"/>
    <col min="7175" max="7175" width="9.5" style="80" bestFit="1" customWidth="1" collapsed="1"/>
    <col min="7176" max="7177" width="9" style="80" collapsed="1"/>
    <col min="7178" max="7185" width="8.625" style="80" customWidth="1" collapsed="1"/>
    <col min="7186" max="7186" width="10.125" style="80" customWidth="1" collapsed="1"/>
    <col min="7187" max="7187" width="9.375" style="80" customWidth="1" collapsed="1"/>
    <col min="7188" max="7188" width="9" style="80" collapsed="1"/>
    <col min="7189" max="7189" width="11.375" style="80" bestFit="1" customWidth="1" collapsed="1"/>
    <col min="7190" max="7190" width="9" style="80" collapsed="1"/>
    <col min="7191" max="7192" width="9.625" style="80" customWidth="1" collapsed="1"/>
    <col min="7193" max="7195" width="9" style="80" collapsed="1"/>
    <col min="7196" max="7196" width="9.5" style="80" bestFit="1" customWidth="1" collapsed="1"/>
    <col min="7197" max="7427" width="9" style="80" collapsed="1"/>
    <col min="7428" max="7428" width="1.875" style="80" customWidth="1" collapsed="1"/>
    <col min="7429" max="7429" width="8.625" style="80" customWidth="1" collapsed="1"/>
    <col min="7430" max="7430" width="9" style="80" collapsed="1"/>
    <col min="7431" max="7431" width="9.5" style="80" bestFit="1" customWidth="1" collapsed="1"/>
    <col min="7432" max="7433" width="9" style="80" collapsed="1"/>
    <col min="7434" max="7441" width="8.625" style="80" customWidth="1" collapsed="1"/>
    <col min="7442" max="7442" width="10.125" style="80" customWidth="1" collapsed="1"/>
    <col min="7443" max="7443" width="9.375" style="80" customWidth="1" collapsed="1"/>
    <col min="7444" max="7444" width="9" style="80" collapsed="1"/>
    <col min="7445" max="7445" width="11.375" style="80" bestFit="1" customWidth="1" collapsed="1"/>
    <col min="7446" max="7446" width="9" style="80" collapsed="1"/>
    <col min="7447" max="7448" width="9.625" style="80" customWidth="1" collapsed="1"/>
    <col min="7449" max="7451" width="9" style="80" collapsed="1"/>
    <col min="7452" max="7452" width="9.5" style="80" bestFit="1" customWidth="1" collapsed="1"/>
    <col min="7453" max="7683" width="9" style="80" collapsed="1"/>
    <col min="7684" max="7684" width="1.875" style="80" customWidth="1" collapsed="1"/>
    <col min="7685" max="7685" width="8.625" style="80" customWidth="1" collapsed="1"/>
    <col min="7686" max="7686" width="9" style="80" collapsed="1"/>
    <col min="7687" max="7687" width="9.5" style="80" bestFit="1" customWidth="1" collapsed="1"/>
    <col min="7688" max="7689" width="9" style="80" collapsed="1"/>
    <col min="7690" max="7697" width="8.625" style="80" customWidth="1" collapsed="1"/>
    <col min="7698" max="7698" width="10.125" style="80" customWidth="1" collapsed="1"/>
    <col min="7699" max="7699" width="9.375" style="80" customWidth="1" collapsed="1"/>
    <col min="7700" max="7700" width="9" style="80" collapsed="1"/>
    <col min="7701" max="7701" width="11.375" style="80" bestFit="1" customWidth="1" collapsed="1"/>
    <col min="7702" max="7702" width="9" style="80" collapsed="1"/>
    <col min="7703" max="7704" width="9.625" style="80" customWidth="1" collapsed="1"/>
    <col min="7705" max="7707" width="9" style="80" collapsed="1"/>
    <col min="7708" max="7708" width="9.5" style="80" bestFit="1" customWidth="1" collapsed="1"/>
    <col min="7709" max="7939" width="9" style="80" collapsed="1"/>
    <col min="7940" max="7940" width="1.875" style="80" customWidth="1" collapsed="1"/>
    <col min="7941" max="7941" width="8.625" style="80" customWidth="1" collapsed="1"/>
    <col min="7942" max="7942" width="9" style="80" collapsed="1"/>
    <col min="7943" max="7943" width="9.5" style="80" bestFit="1" customWidth="1" collapsed="1"/>
    <col min="7944" max="7945" width="9" style="80" collapsed="1"/>
    <col min="7946" max="7953" width="8.625" style="80" customWidth="1" collapsed="1"/>
    <col min="7954" max="7954" width="10.125" style="80" customWidth="1" collapsed="1"/>
    <col min="7955" max="7955" width="9.375" style="80" customWidth="1" collapsed="1"/>
    <col min="7956" max="7956" width="9" style="80" collapsed="1"/>
    <col min="7957" max="7957" width="11.375" style="80" bestFit="1" customWidth="1" collapsed="1"/>
    <col min="7958" max="7958" width="9" style="80" collapsed="1"/>
    <col min="7959" max="7960" width="9.625" style="80" customWidth="1" collapsed="1"/>
    <col min="7961" max="7963" width="9" style="80" collapsed="1"/>
    <col min="7964" max="7964" width="9.5" style="80" bestFit="1" customWidth="1" collapsed="1"/>
    <col min="7965" max="8195" width="9" style="80" collapsed="1"/>
    <col min="8196" max="8196" width="1.875" style="80" customWidth="1" collapsed="1"/>
    <col min="8197" max="8197" width="8.625" style="80" customWidth="1" collapsed="1"/>
    <col min="8198" max="8198" width="9" style="80" collapsed="1"/>
    <col min="8199" max="8199" width="9.5" style="80" bestFit="1" customWidth="1" collapsed="1"/>
    <col min="8200" max="8201" width="9" style="80" collapsed="1"/>
    <col min="8202" max="8209" width="8.625" style="80" customWidth="1" collapsed="1"/>
    <col min="8210" max="8210" width="10.125" style="80" customWidth="1" collapsed="1"/>
    <col min="8211" max="8211" width="9.375" style="80" customWidth="1" collapsed="1"/>
    <col min="8212" max="8212" width="9" style="80" collapsed="1"/>
    <col min="8213" max="8213" width="11.375" style="80" bestFit="1" customWidth="1" collapsed="1"/>
    <col min="8214" max="8214" width="9" style="80" collapsed="1"/>
    <col min="8215" max="8216" width="9.625" style="80" customWidth="1" collapsed="1"/>
    <col min="8217" max="8219" width="9" style="80" collapsed="1"/>
    <col min="8220" max="8220" width="9.5" style="80" bestFit="1" customWidth="1" collapsed="1"/>
    <col min="8221" max="8451" width="9" style="80" collapsed="1"/>
    <col min="8452" max="8452" width="1.875" style="80" customWidth="1" collapsed="1"/>
    <col min="8453" max="8453" width="8.625" style="80" customWidth="1" collapsed="1"/>
    <col min="8454" max="8454" width="9" style="80" collapsed="1"/>
    <col min="8455" max="8455" width="9.5" style="80" bestFit="1" customWidth="1" collapsed="1"/>
    <col min="8456" max="8457" width="9" style="80" collapsed="1"/>
    <col min="8458" max="8465" width="8.625" style="80" customWidth="1" collapsed="1"/>
    <col min="8466" max="8466" width="10.125" style="80" customWidth="1" collapsed="1"/>
    <col min="8467" max="8467" width="9.375" style="80" customWidth="1" collapsed="1"/>
    <col min="8468" max="8468" width="9" style="80" collapsed="1"/>
    <col min="8469" max="8469" width="11.375" style="80" bestFit="1" customWidth="1" collapsed="1"/>
    <col min="8470" max="8470" width="9" style="80" collapsed="1"/>
    <col min="8471" max="8472" width="9.625" style="80" customWidth="1" collapsed="1"/>
    <col min="8473" max="8475" width="9" style="80" collapsed="1"/>
    <col min="8476" max="8476" width="9.5" style="80" bestFit="1" customWidth="1" collapsed="1"/>
    <col min="8477" max="8707" width="9" style="80" collapsed="1"/>
    <col min="8708" max="8708" width="1.875" style="80" customWidth="1" collapsed="1"/>
    <col min="8709" max="8709" width="8.625" style="80" customWidth="1" collapsed="1"/>
    <col min="8710" max="8710" width="9" style="80" collapsed="1"/>
    <col min="8711" max="8711" width="9.5" style="80" bestFit="1" customWidth="1" collapsed="1"/>
    <col min="8712" max="8713" width="9" style="80" collapsed="1"/>
    <col min="8714" max="8721" width="8.625" style="80" customWidth="1" collapsed="1"/>
    <col min="8722" max="8722" width="10.125" style="80" customWidth="1" collapsed="1"/>
    <col min="8723" max="8723" width="9.375" style="80" customWidth="1" collapsed="1"/>
    <col min="8724" max="8724" width="9" style="80" collapsed="1"/>
    <col min="8725" max="8725" width="11.375" style="80" bestFit="1" customWidth="1" collapsed="1"/>
    <col min="8726" max="8726" width="9" style="80" collapsed="1"/>
    <col min="8727" max="8728" width="9.625" style="80" customWidth="1" collapsed="1"/>
    <col min="8729" max="8731" width="9" style="80" collapsed="1"/>
    <col min="8732" max="8732" width="9.5" style="80" bestFit="1" customWidth="1" collapsed="1"/>
    <col min="8733" max="8963" width="9" style="80" collapsed="1"/>
    <col min="8964" max="8964" width="1.875" style="80" customWidth="1" collapsed="1"/>
    <col min="8965" max="8965" width="8.625" style="80" customWidth="1" collapsed="1"/>
    <col min="8966" max="8966" width="9" style="80" collapsed="1"/>
    <col min="8967" max="8967" width="9.5" style="80" bestFit="1" customWidth="1" collapsed="1"/>
    <col min="8968" max="8969" width="9" style="80" collapsed="1"/>
    <col min="8970" max="8977" width="8.625" style="80" customWidth="1" collapsed="1"/>
    <col min="8978" max="8978" width="10.125" style="80" customWidth="1" collapsed="1"/>
    <col min="8979" max="8979" width="9.375" style="80" customWidth="1" collapsed="1"/>
    <col min="8980" max="8980" width="9" style="80" collapsed="1"/>
    <col min="8981" max="8981" width="11.375" style="80" bestFit="1" customWidth="1" collapsed="1"/>
    <col min="8982" max="8982" width="9" style="80" collapsed="1"/>
    <col min="8983" max="8984" width="9.625" style="80" customWidth="1" collapsed="1"/>
    <col min="8985" max="8987" width="9" style="80" collapsed="1"/>
    <col min="8988" max="8988" width="9.5" style="80" bestFit="1" customWidth="1" collapsed="1"/>
    <col min="8989" max="9219" width="9" style="80" collapsed="1"/>
    <col min="9220" max="9220" width="1.875" style="80" customWidth="1" collapsed="1"/>
    <col min="9221" max="9221" width="8.625" style="80" customWidth="1" collapsed="1"/>
    <col min="9222" max="9222" width="9" style="80" collapsed="1"/>
    <col min="9223" max="9223" width="9.5" style="80" bestFit="1" customWidth="1" collapsed="1"/>
    <col min="9224" max="9225" width="9" style="80" collapsed="1"/>
    <col min="9226" max="9233" width="8.625" style="80" customWidth="1" collapsed="1"/>
    <col min="9234" max="9234" width="10.125" style="80" customWidth="1" collapsed="1"/>
    <col min="9235" max="9235" width="9.375" style="80" customWidth="1" collapsed="1"/>
    <col min="9236" max="9236" width="9" style="80" collapsed="1"/>
    <col min="9237" max="9237" width="11.375" style="80" bestFit="1" customWidth="1" collapsed="1"/>
    <col min="9238" max="9238" width="9" style="80" collapsed="1"/>
    <col min="9239" max="9240" width="9.625" style="80" customWidth="1" collapsed="1"/>
    <col min="9241" max="9243" width="9" style="80" collapsed="1"/>
    <col min="9244" max="9244" width="9.5" style="80" bestFit="1" customWidth="1" collapsed="1"/>
    <col min="9245" max="9475" width="9" style="80" collapsed="1"/>
    <col min="9476" max="9476" width="1.875" style="80" customWidth="1" collapsed="1"/>
    <col min="9477" max="9477" width="8.625" style="80" customWidth="1" collapsed="1"/>
    <col min="9478" max="9478" width="9" style="80" collapsed="1"/>
    <col min="9479" max="9479" width="9.5" style="80" bestFit="1" customWidth="1" collapsed="1"/>
    <col min="9480" max="9481" width="9" style="80" collapsed="1"/>
    <col min="9482" max="9489" width="8.625" style="80" customWidth="1" collapsed="1"/>
    <col min="9490" max="9490" width="10.125" style="80" customWidth="1" collapsed="1"/>
    <col min="9491" max="9491" width="9.375" style="80" customWidth="1" collapsed="1"/>
    <col min="9492" max="9492" width="9" style="80" collapsed="1"/>
    <col min="9493" max="9493" width="11.375" style="80" bestFit="1" customWidth="1" collapsed="1"/>
    <col min="9494" max="9494" width="9" style="80" collapsed="1"/>
    <col min="9495" max="9496" width="9.625" style="80" customWidth="1" collapsed="1"/>
    <col min="9497" max="9499" width="9" style="80" collapsed="1"/>
    <col min="9500" max="9500" width="9.5" style="80" bestFit="1" customWidth="1" collapsed="1"/>
    <col min="9501" max="9731" width="9" style="80" collapsed="1"/>
    <col min="9732" max="9732" width="1.875" style="80" customWidth="1" collapsed="1"/>
    <col min="9733" max="9733" width="8.625" style="80" customWidth="1" collapsed="1"/>
    <col min="9734" max="9734" width="9" style="80" collapsed="1"/>
    <col min="9735" max="9735" width="9.5" style="80" bestFit="1" customWidth="1" collapsed="1"/>
    <col min="9736" max="9737" width="9" style="80" collapsed="1"/>
    <col min="9738" max="9745" width="8.625" style="80" customWidth="1" collapsed="1"/>
    <col min="9746" max="9746" width="10.125" style="80" customWidth="1" collapsed="1"/>
    <col min="9747" max="9747" width="9.375" style="80" customWidth="1" collapsed="1"/>
    <col min="9748" max="9748" width="9" style="80" collapsed="1"/>
    <col min="9749" max="9749" width="11.375" style="80" bestFit="1" customWidth="1" collapsed="1"/>
    <col min="9750" max="9750" width="9" style="80" collapsed="1"/>
    <col min="9751" max="9752" width="9.625" style="80" customWidth="1" collapsed="1"/>
    <col min="9753" max="9755" width="9" style="80" collapsed="1"/>
    <col min="9756" max="9756" width="9.5" style="80" bestFit="1" customWidth="1" collapsed="1"/>
    <col min="9757" max="9987" width="9" style="80" collapsed="1"/>
    <col min="9988" max="9988" width="1.875" style="80" customWidth="1" collapsed="1"/>
    <col min="9989" max="9989" width="8.625" style="80" customWidth="1" collapsed="1"/>
    <col min="9990" max="9990" width="9" style="80" collapsed="1"/>
    <col min="9991" max="9991" width="9.5" style="80" bestFit="1" customWidth="1" collapsed="1"/>
    <col min="9992" max="9993" width="9" style="80" collapsed="1"/>
    <col min="9994" max="10001" width="8.625" style="80" customWidth="1" collapsed="1"/>
    <col min="10002" max="10002" width="10.125" style="80" customWidth="1" collapsed="1"/>
    <col min="10003" max="10003" width="9.375" style="80" customWidth="1" collapsed="1"/>
    <col min="10004" max="10004" width="9" style="80" collapsed="1"/>
    <col min="10005" max="10005" width="11.375" style="80" bestFit="1" customWidth="1" collapsed="1"/>
    <col min="10006" max="10006" width="9" style="80" collapsed="1"/>
    <col min="10007" max="10008" width="9.625" style="80" customWidth="1" collapsed="1"/>
    <col min="10009" max="10011" width="9" style="80" collapsed="1"/>
    <col min="10012" max="10012" width="9.5" style="80" bestFit="1" customWidth="1" collapsed="1"/>
    <col min="10013" max="10243" width="9" style="80" collapsed="1"/>
    <col min="10244" max="10244" width="1.875" style="80" customWidth="1" collapsed="1"/>
    <col min="10245" max="10245" width="8.625" style="80" customWidth="1" collapsed="1"/>
    <col min="10246" max="10246" width="9" style="80" collapsed="1"/>
    <col min="10247" max="10247" width="9.5" style="80" bestFit="1" customWidth="1" collapsed="1"/>
    <col min="10248" max="10249" width="9" style="80" collapsed="1"/>
    <col min="10250" max="10257" width="8.625" style="80" customWidth="1" collapsed="1"/>
    <col min="10258" max="10258" width="10.125" style="80" customWidth="1" collapsed="1"/>
    <col min="10259" max="10259" width="9.375" style="80" customWidth="1" collapsed="1"/>
    <col min="10260" max="10260" width="9" style="80" collapsed="1"/>
    <col min="10261" max="10261" width="11.375" style="80" bestFit="1" customWidth="1" collapsed="1"/>
    <col min="10262" max="10262" width="9" style="80" collapsed="1"/>
    <col min="10263" max="10264" width="9.625" style="80" customWidth="1" collapsed="1"/>
    <col min="10265" max="10267" width="9" style="80" collapsed="1"/>
    <col min="10268" max="10268" width="9.5" style="80" bestFit="1" customWidth="1" collapsed="1"/>
    <col min="10269" max="10499" width="9" style="80" collapsed="1"/>
    <col min="10500" max="10500" width="1.875" style="80" customWidth="1" collapsed="1"/>
    <col min="10501" max="10501" width="8.625" style="80" customWidth="1" collapsed="1"/>
    <col min="10502" max="10502" width="9" style="80" collapsed="1"/>
    <col min="10503" max="10503" width="9.5" style="80" bestFit="1" customWidth="1" collapsed="1"/>
    <col min="10504" max="10505" width="9" style="80" collapsed="1"/>
    <col min="10506" max="10513" width="8.625" style="80" customWidth="1" collapsed="1"/>
    <col min="10514" max="10514" width="10.125" style="80" customWidth="1" collapsed="1"/>
    <col min="10515" max="10515" width="9.375" style="80" customWidth="1" collapsed="1"/>
    <col min="10516" max="10516" width="9" style="80" collapsed="1"/>
    <col min="10517" max="10517" width="11.375" style="80" bestFit="1" customWidth="1" collapsed="1"/>
    <col min="10518" max="10518" width="9" style="80" collapsed="1"/>
    <col min="10519" max="10520" width="9.625" style="80" customWidth="1" collapsed="1"/>
    <col min="10521" max="10523" width="9" style="80" collapsed="1"/>
    <col min="10524" max="10524" width="9.5" style="80" bestFit="1" customWidth="1" collapsed="1"/>
    <col min="10525" max="10755" width="9" style="80" collapsed="1"/>
    <col min="10756" max="10756" width="1.875" style="80" customWidth="1" collapsed="1"/>
    <col min="10757" max="10757" width="8.625" style="80" customWidth="1" collapsed="1"/>
    <col min="10758" max="10758" width="9" style="80" collapsed="1"/>
    <col min="10759" max="10759" width="9.5" style="80" bestFit="1" customWidth="1" collapsed="1"/>
    <col min="10760" max="10761" width="9" style="80" collapsed="1"/>
    <col min="10762" max="10769" width="8.625" style="80" customWidth="1" collapsed="1"/>
    <col min="10770" max="10770" width="10.125" style="80" customWidth="1" collapsed="1"/>
    <col min="10771" max="10771" width="9.375" style="80" customWidth="1" collapsed="1"/>
    <col min="10772" max="10772" width="9" style="80" collapsed="1"/>
    <col min="10773" max="10773" width="11.375" style="80" bestFit="1" customWidth="1" collapsed="1"/>
    <col min="10774" max="10774" width="9" style="80" collapsed="1"/>
    <col min="10775" max="10776" width="9.625" style="80" customWidth="1" collapsed="1"/>
    <col min="10777" max="10779" width="9" style="80" collapsed="1"/>
    <col min="10780" max="10780" width="9.5" style="80" bestFit="1" customWidth="1" collapsed="1"/>
    <col min="10781" max="11011" width="9" style="80" collapsed="1"/>
    <col min="11012" max="11012" width="1.875" style="80" customWidth="1" collapsed="1"/>
    <col min="11013" max="11013" width="8.625" style="80" customWidth="1" collapsed="1"/>
    <col min="11014" max="11014" width="9" style="80" collapsed="1"/>
    <col min="11015" max="11015" width="9.5" style="80" bestFit="1" customWidth="1" collapsed="1"/>
    <col min="11016" max="11017" width="9" style="80" collapsed="1"/>
    <col min="11018" max="11025" width="8.625" style="80" customWidth="1" collapsed="1"/>
    <col min="11026" max="11026" width="10.125" style="80" customWidth="1" collapsed="1"/>
    <col min="11027" max="11027" width="9.375" style="80" customWidth="1" collapsed="1"/>
    <col min="11028" max="11028" width="9" style="80" collapsed="1"/>
    <col min="11029" max="11029" width="11.375" style="80" bestFit="1" customWidth="1" collapsed="1"/>
    <col min="11030" max="11030" width="9" style="80" collapsed="1"/>
    <col min="11031" max="11032" width="9.625" style="80" customWidth="1" collapsed="1"/>
    <col min="11033" max="11035" width="9" style="80" collapsed="1"/>
    <col min="11036" max="11036" width="9.5" style="80" bestFit="1" customWidth="1" collapsed="1"/>
    <col min="11037" max="11267" width="9" style="80" collapsed="1"/>
    <col min="11268" max="11268" width="1.875" style="80" customWidth="1" collapsed="1"/>
    <col min="11269" max="11269" width="8.625" style="80" customWidth="1" collapsed="1"/>
    <col min="11270" max="11270" width="9" style="80" collapsed="1"/>
    <col min="11271" max="11271" width="9.5" style="80" bestFit="1" customWidth="1" collapsed="1"/>
    <col min="11272" max="11273" width="9" style="80" collapsed="1"/>
    <col min="11274" max="11281" width="8.625" style="80" customWidth="1" collapsed="1"/>
    <col min="11282" max="11282" width="10.125" style="80" customWidth="1" collapsed="1"/>
    <col min="11283" max="11283" width="9.375" style="80" customWidth="1" collapsed="1"/>
    <col min="11284" max="11284" width="9" style="80" collapsed="1"/>
    <col min="11285" max="11285" width="11.375" style="80" bestFit="1" customWidth="1" collapsed="1"/>
    <col min="11286" max="11286" width="9" style="80" collapsed="1"/>
    <col min="11287" max="11288" width="9.625" style="80" customWidth="1" collapsed="1"/>
    <col min="11289" max="11291" width="9" style="80" collapsed="1"/>
    <col min="11292" max="11292" width="9.5" style="80" bestFit="1" customWidth="1" collapsed="1"/>
    <col min="11293" max="11523" width="9" style="80" collapsed="1"/>
    <col min="11524" max="11524" width="1.875" style="80" customWidth="1" collapsed="1"/>
    <col min="11525" max="11525" width="8.625" style="80" customWidth="1" collapsed="1"/>
    <col min="11526" max="11526" width="9" style="80" collapsed="1"/>
    <col min="11527" max="11527" width="9.5" style="80" bestFit="1" customWidth="1" collapsed="1"/>
    <col min="11528" max="11529" width="9" style="80" collapsed="1"/>
    <col min="11530" max="11537" width="8.625" style="80" customWidth="1" collapsed="1"/>
    <col min="11538" max="11538" width="10.125" style="80" customWidth="1" collapsed="1"/>
    <col min="11539" max="11539" width="9.375" style="80" customWidth="1" collapsed="1"/>
    <col min="11540" max="11540" width="9" style="80" collapsed="1"/>
    <col min="11541" max="11541" width="11.375" style="80" bestFit="1" customWidth="1" collapsed="1"/>
    <col min="11542" max="11542" width="9" style="80" collapsed="1"/>
    <col min="11543" max="11544" width="9.625" style="80" customWidth="1" collapsed="1"/>
    <col min="11545" max="11547" width="9" style="80" collapsed="1"/>
    <col min="11548" max="11548" width="9.5" style="80" bestFit="1" customWidth="1" collapsed="1"/>
    <col min="11549" max="11779" width="9" style="80" collapsed="1"/>
    <col min="11780" max="11780" width="1.875" style="80" customWidth="1" collapsed="1"/>
    <col min="11781" max="11781" width="8.625" style="80" customWidth="1" collapsed="1"/>
    <col min="11782" max="11782" width="9" style="80" collapsed="1"/>
    <col min="11783" max="11783" width="9.5" style="80" bestFit="1" customWidth="1" collapsed="1"/>
    <col min="11784" max="11785" width="9" style="80" collapsed="1"/>
    <col min="11786" max="11793" width="8.625" style="80" customWidth="1" collapsed="1"/>
    <col min="11794" max="11794" width="10.125" style="80" customWidth="1" collapsed="1"/>
    <col min="11795" max="11795" width="9.375" style="80" customWidth="1" collapsed="1"/>
    <col min="11796" max="11796" width="9" style="80" collapsed="1"/>
    <col min="11797" max="11797" width="11.375" style="80" bestFit="1" customWidth="1" collapsed="1"/>
    <col min="11798" max="11798" width="9" style="80" collapsed="1"/>
    <col min="11799" max="11800" width="9.625" style="80" customWidth="1" collapsed="1"/>
    <col min="11801" max="11803" width="9" style="80" collapsed="1"/>
    <col min="11804" max="11804" width="9.5" style="80" bestFit="1" customWidth="1" collapsed="1"/>
    <col min="11805" max="12035" width="9" style="80" collapsed="1"/>
    <col min="12036" max="12036" width="1.875" style="80" customWidth="1" collapsed="1"/>
    <col min="12037" max="12037" width="8.625" style="80" customWidth="1" collapsed="1"/>
    <col min="12038" max="12038" width="9" style="80" collapsed="1"/>
    <col min="12039" max="12039" width="9.5" style="80" bestFit="1" customWidth="1" collapsed="1"/>
    <col min="12040" max="12041" width="9" style="80" collapsed="1"/>
    <col min="12042" max="12049" width="8.625" style="80" customWidth="1" collapsed="1"/>
    <col min="12050" max="12050" width="10.125" style="80" customWidth="1" collapsed="1"/>
    <col min="12051" max="12051" width="9.375" style="80" customWidth="1" collapsed="1"/>
    <col min="12052" max="12052" width="9" style="80" collapsed="1"/>
    <col min="12053" max="12053" width="11.375" style="80" bestFit="1" customWidth="1" collapsed="1"/>
    <col min="12054" max="12054" width="9" style="80" collapsed="1"/>
    <col min="12055" max="12056" width="9.625" style="80" customWidth="1" collapsed="1"/>
    <col min="12057" max="12059" width="9" style="80" collapsed="1"/>
    <col min="12060" max="12060" width="9.5" style="80" bestFit="1" customWidth="1" collapsed="1"/>
    <col min="12061" max="12291" width="9" style="80" collapsed="1"/>
    <col min="12292" max="12292" width="1.875" style="80" customWidth="1" collapsed="1"/>
    <col min="12293" max="12293" width="8.625" style="80" customWidth="1" collapsed="1"/>
    <col min="12294" max="12294" width="9" style="80" collapsed="1"/>
    <col min="12295" max="12295" width="9.5" style="80" bestFit="1" customWidth="1" collapsed="1"/>
    <col min="12296" max="12297" width="9" style="80" collapsed="1"/>
    <col min="12298" max="12305" width="8.625" style="80" customWidth="1" collapsed="1"/>
    <col min="12306" max="12306" width="10.125" style="80" customWidth="1" collapsed="1"/>
    <col min="12307" max="12307" width="9.375" style="80" customWidth="1" collapsed="1"/>
    <col min="12308" max="12308" width="9" style="80" collapsed="1"/>
    <col min="12309" max="12309" width="11.375" style="80" bestFit="1" customWidth="1" collapsed="1"/>
    <col min="12310" max="12310" width="9" style="80" collapsed="1"/>
    <col min="12311" max="12312" width="9.625" style="80" customWidth="1" collapsed="1"/>
    <col min="12313" max="12315" width="9" style="80" collapsed="1"/>
    <col min="12316" max="12316" width="9.5" style="80" bestFit="1" customWidth="1" collapsed="1"/>
    <col min="12317" max="12547" width="9" style="80" collapsed="1"/>
    <col min="12548" max="12548" width="1.875" style="80" customWidth="1" collapsed="1"/>
    <col min="12549" max="12549" width="8.625" style="80" customWidth="1" collapsed="1"/>
    <col min="12550" max="12550" width="9" style="80" collapsed="1"/>
    <col min="12551" max="12551" width="9.5" style="80" bestFit="1" customWidth="1" collapsed="1"/>
    <col min="12552" max="12553" width="9" style="80" collapsed="1"/>
    <col min="12554" max="12561" width="8.625" style="80" customWidth="1" collapsed="1"/>
    <col min="12562" max="12562" width="10.125" style="80" customWidth="1" collapsed="1"/>
    <col min="12563" max="12563" width="9.375" style="80" customWidth="1" collapsed="1"/>
    <col min="12564" max="12564" width="9" style="80" collapsed="1"/>
    <col min="12565" max="12565" width="11.375" style="80" bestFit="1" customWidth="1" collapsed="1"/>
    <col min="12566" max="12566" width="9" style="80" collapsed="1"/>
    <col min="12567" max="12568" width="9.625" style="80" customWidth="1" collapsed="1"/>
    <col min="12569" max="12571" width="9" style="80" collapsed="1"/>
    <col min="12572" max="12572" width="9.5" style="80" bestFit="1" customWidth="1" collapsed="1"/>
    <col min="12573" max="12803" width="9" style="80" collapsed="1"/>
    <col min="12804" max="12804" width="1.875" style="80" customWidth="1" collapsed="1"/>
    <col min="12805" max="12805" width="8.625" style="80" customWidth="1" collapsed="1"/>
    <col min="12806" max="12806" width="9" style="80" collapsed="1"/>
    <col min="12807" max="12807" width="9.5" style="80" bestFit="1" customWidth="1" collapsed="1"/>
    <col min="12808" max="12809" width="9" style="80" collapsed="1"/>
    <col min="12810" max="12817" width="8.625" style="80" customWidth="1" collapsed="1"/>
    <col min="12818" max="12818" width="10.125" style="80" customWidth="1" collapsed="1"/>
    <col min="12819" max="12819" width="9.375" style="80" customWidth="1" collapsed="1"/>
    <col min="12820" max="12820" width="9" style="80" collapsed="1"/>
    <col min="12821" max="12821" width="11.375" style="80" bestFit="1" customWidth="1" collapsed="1"/>
    <col min="12822" max="12822" width="9" style="80" collapsed="1"/>
    <col min="12823" max="12824" width="9.625" style="80" customWidth="1" collapsed="1"/>
    <col min="12825" max="12827" width="9" style="80" collapsed="1"/>
    <col min="12828" max="12828" width="9.5" style="80" bestFit="1" customWidth="1" collapsed="1"/>
    <col min="12829" max="13059" width="9" style="80" collapsed="1"/>
    <col min="13060" max="13060" width="1.875" style="80" customWidth="1" collapsed="1"/>
    <col min="13061" max="13061" width="8.625" style="80" customWidth="1" collapsed="1"/>
    <col min="13062" max="13062" width="9" style="80" collapsed="1"/>
    <col min="13063" max="13063" width="9.5" style="80" bestFit="1" customWidth="1" collapsed="1"/>
    <col min="13064" max="13065" width="9" style="80" collapsed="1"/>
    <col min="13066" max="13073" width="8.625" style="80" customWidth="1" collapsed="1"/>
    <col min="13074" max="13074" width="10.125" style="80" customWidth="1" collapsed="1"/>
    <col min="13075" max="13075" width="9.375" style="80" customWidth="1" collapsed="1"/>
    <col min="13076" max="13076" width="9" style="80" collapsed="1"/>
    <col min="13077" max="13077" width="11.375" style="80" bestFit="1" customWidth="1" collapsed="1"/>
    <col min="13078" max="13078" width="9" style="80" collapsed="1"/>
    <col min="13079" max="13080" width="9.625" style="80" customWidth="1" collapsed="1"/>
    <col min="13081" max="13083" width="9" style="80" collapsed="1"/>
    <col min="13084" max="13084" width="9.5" style="80" bestFit="1" customWidth="1" collapsed="1"/>
    <col min="13085" max="13315" width="9" style="80" collapsed="1"/>
    <col min="13316" max="13316" width="1.875" style="80" customWidth="1" collapsed="1"/>
    <col min="13317" max="13317" width="8.625" style="80" customWidth="1" collapsed="1"/>
    <col min="13318" max="13318" width="9" style="80" collapsed="1"/>
    <col min="13319" max="13319" width="9.5" style="80" bestFit="1" customWidth="1" collapsed="1"/>
    <col min="13320" max="13321" width="9" style="80" collapsed="1"/>
    <col min="13322" max="13329" width="8.625" style="80" customWidth="1" collapsed="1"/>
    <col min="13330" max="13330" width="10.125" style="80" customWidth="1" collapsed="1"/>
    <col min="13331" max="13331" width="9.375" style="80" customWidth="1" collapsed="1"/>
    <col min="13332" max="13332" width="9" style="80" collapsed="1"/>
    <col min="13333" max="13333" width="11.375" style="80" bestFit="1" customWidth="1" collapsed="1"/>
    <col min="13334" max="13334" width="9" style="80" collapsed="1"/>
    <col min="13335" max="13336" width="9.625" style="80" customWidth="1" collapsed="1"/>
    <col min="13337" max="13339" width="9" style="80" collapsed="1"/>
    <col min="13340" max="13340" width="9.5" style="80" bestFit="1" customWidth="1" collapsed="1"/>
    <col min="13341" max="13571" width="9" style="80" collapsed="1"/>
    <col min="13572" max="13572" width="1.875" style="80" customWidth="1" collapsed="1"/>
    <col min="13573" max="13573" width="8.625" style="80" customWidth="1" collapsed="1"/>
    <col min="13574" max="13574" width="9" style="80" collapsed="1"/>
    <col min="13575" max="13575" width="9.5" style="80" bestFit="1" customWidth="1" collapsed="1"/>
    <col min="13576" max="13577" width="9" style="80" collapsed="1"/>
    <col min="13578" max="13585" width="8.625" style="80" customWidth="1" collapsed="1"/>
    <col min="13586" max="13586" width="10.125" style="80" customWidth="1" collapsed="1"/>
    <col min="13587" max="13587" width="9.375" style="80" customWidth="1" collapsed="1"/>
    <col min="13588" max="13588" width="9" style="80" collapsed="1"/>
    <col min="13589" max="13589" width="11.375" style="80" bestFit="1" customWidth="1" collapsed="1"/>
    <col min="13590" max="13590" width="9" style="80" collapsed="1"/>
    <col min="13591" max="13592" width="9.625" style="80" customWidth="1" collapsed="1"/>
    <col min="13593" max="13595" width="9" style="80" collapsed="1"/>
    <col min="13596" max="13596" width="9.5" style="80" bestFit="1" customWidth="1" collapsed="1"/>
    <col min="13597" max="13827" width="9" style="80" collapsed="1"/>
    <col min="13828" max="13828" width="1.875" style="80" customWidth="1" collapsed="1"/>
    <col min="13829" max="13829" width="8.625" style="80" customWidth="1" collapsed="1"/>
    <col min="13830" max="13830" width="9" style="80" collapsed="1"/>
    <col min="13831" max="13831" width="9.5" style="80" bestFit="1" customWidth="1" collapsed="1"/>
    <col min="13832" max="13833" width="9" style="80" collapsed="1"/>
    <col min="13834" max="13841" width="8.625" style="80" customWidth="1" collapsed="1"/>
    <col min="13842" max="13842" width="10.125" style="80" customWidth="1" collapsed="1"/>
    <col min="13843" max="13843" width="9.375" style="80" customWidth="1" collapsed="1"/>
    <col min="13844" max="13844" width="9" style="80" collapsed="1"/>
    <col min="13845" max="13845" width="11.375" style="80" bestFit="1" customWidth="1" collapsed="1"/>
    <col min="13846" max="13846" width="9" style="80" collapsed="1"/>
    <col min="13847" max="13848" width="9.625" style="80" customWidth="1" collapsed="1"/>
    <col min="13849" max="13851" width="9" style="80" collapsed="1"/>
    <col min="13852" max="13852" width="9.5" style="80" bestFit="1" customWidth="1" collapsed="1"/>
    <col min="13853" max="14083" width="9" style="80" collapsed="1"/>
    <col min="14084" max="14084" width="1.875" style="80" customWidth="1" collapsed="1"/>
    <col min="14085" max="14085" width="8.625" style="80" customWidth="1" collapsed="1"/>
    <col min="14086" max="14086" width="9" style="80" collapsed="1"/>
    <col min="14087" max="14087" width="9.5" style="80" bestFit="1" customWidth="1" collapsed="1"/>
    <col min="14088" max="14089" width="9" style="80" collapsed="1"/>
    <col min="14090" max="14097" width="8.625" style="80" customWidth="1" collapsed="1"/>
    <col min="14098" max="14098" width="10.125" style="80" customWidth="1" collapsed="1"/>
    <col min="14099" max="14099" width="9.375" style="80" customWidth="1" collapsed="1"/>
    <col min="14100" max="14100" width="9" style="80" collapsed="1"/>
    <col min="14101" max="14101" width="11.375" style="80" bestFit="1" customWidth="1" collapsed="1"/>
    <col min="14102" max="14102" width="9" style="80" collapsed="1"/>
    <col min="14103" max="14104" width="9.625" style="80" customWidth="1" collapsed="1"/>
    <col min="14105" max="14107" width="9" style="80" collapsed="1"/>
    <col min="14108" max="14108" width="9.5" style="80" bestFit="1" customWidth="1" collapsed="1"/>
    <col min="14109" max="14339" width="9" style="80" collapsed="1"/>
    <col min="14340" max="14340" width="1.875" style="80" customWidth="1" collapsed="1"/>
    <col min="14341" max="14341" width="8.625" style="80" customWidth="1" collapsed="1"/>
    <col min="14342" max="14342" width="9" style="80" collapsed="1"/>
    <col min="14343" max="14343" width="9.5" style="80" bestFit="1" customWidth="1" collapsed="1"/>
    <col min="14344" max="14345" width="9" style="80" collapsed="1"/>
    <col min="14346" max="14353" width="8.625" style="80" customWidth="1" collapsed="1"/>
    <col min="14354" max="14354" width="10.125" style="80" customWidth="1" collapsed="1"/>
    <col min="14355" max="14355" width="9.375" style="80" customWidth="1" collapsed="1"/>
    <col min="14356" max="14356" width="9" style="80" collapsed="1"/>
    <col min="14357" max="14357" width="11.375" style="80" bestFit="1" customWidth="1" collapsed="1"/>
    <col min="14358" max="14358" width="9" style="80" collapsed="1"/>
    <col min="14359" max="14360" width="9.625" style="80" customWidth="1" collapsed="1"/>
    <col min="14361" max="14363" width="9" style="80" collapsed="1"/>
    <col min="14364" max="14364" width="9.5" style="80" bestFit="1" customWidth="1" collapsed="1"/>
    <col min="14365" max="14595" width="9" style="80" collapsed="1"/>
    <col min="14596" max="14596" width="1.875" style="80" customWidth="1" collapsed="1"/>
    <col min="14597" max="14597" width="8.625" style="80" customWidth="1" collapsed="1"/>
    <col min="14598" max="14598" width="9" style="80" collapsed="1"/>
    <col min="14599" max="14599" width="9.5" style="80" bestFit="1" customWidth="1" collapsed="1"/>
    <col min="14600" max="14601" width="9" style="80" collapsed="1"/>
    <col min="14602" max="14609" width="8.625" style="80" customWidth="1" collapsed="1"/>
    <col min="14610" max="14610" width="10.125" style="80" customWidth="1" collapsed="1"/>
    <col min="14611" max="14611" width="9.375" style="80" customWidth="1" collapsed="1"/>
    <col min="14612" max="14612" width="9" style="80" collapsed="1"/>
    <col min="14613" max="14613" width="11.375" style="80" bestFit="1" customWidth="1" collapsed="1"/>
    <col min="14614" max="14614" width="9" style="80" collapsed="1"/>
    <col min="14615" max="14616" width="9.625" style="80" customWidth="1" collapsed="1"/>
    <col min="14617" max="14619" width="9" style="80" collapsed="1"/>
    <col min="14620" max="14620" width="9.5" style="80" bestFit="1" customWidth="1" collapsed="1"/>
    <col min="14621" max="14851" width="9" style="80" collapsed="1"/>
    <col min="14852" max="14852" width="1.875" style="80" customWidth="1" collapsed="1"/>
    <col min="14853" max="14853" width="8.625" style="80" customWidth="1" collapsed="1"/>
    <col min="14854" max="14854" width="9" style="80" collapsed="1"/>
    <col min="14855" max="14855" width="9.5" style="80" bestFit="1" customWidth="1" collapsed="1"/>
    <col min="14856" max="14857" width="9" style="80" collapsed="1"/>
    <col min="14858" max="14865" width="8.625" style="80" customWidth="1" collapsed="1"/>
    <col min="14866" max="14866" width="10.125" style="80" customWidth="1" collapsed="1"/>
    <col min="14867" max="14867" width="9.375" style="80" customWidth="1" collapsed="1"/>
    <col min="14868" max="14868" width="9" style="80" collapsed="1"/>
    <col min="14869" max="14869" width="11.375" style="80" bestFit="1" customWidth="1" collapsed="1"/>
    <col min="14870" max="14870" width="9" style="80" collapsed="1"/>
    <col min="14871" max="14872" width="9.625" style="80" customWidth="1" collapsed="1"/>
    <col min="14873" max="14875" width="9" style="80" collapsed="1"/>
    <col min="14876" max="14876" width="9.5" style="80" bestFit="1" customWidth="1" collapsed="1"/>
    <col min="14877" max="15107" width="9" style="80" collapsed="1"/>
    <col min="15108" max="15108" width="1.875" style="80" customWidth="1" collapsed="1"/>
    <col min="15109" max="15109" width="8.625" style="80" customWidth="1" collapsed="1"/>
    <col min="15110" max="15110" width="9" style="80" collapsed="1"/>
    <col min="15111" max="15111" width="9.5" style="80" bestFit="1" customWidth="1" collapsed="1"/>
    <col min="15112" max="15113" width="9" style="80" collapsed="1"/>
    <col min="15114" max="15121" width="8.625" style="80" customWidth="1" collapsed="1"/>
    <col min="15122" max="15122" width="10.125" style="80" customWidth="1" collapsed="1"/>
    <col min="15123" max="15123" width="9.375" style="80" customWidth="1" collapsed="1"/>
    <col min="15124" max="15124" width="9" style="80" collapsed="1"/>
    <col min="15125" max="15125" width="11.375" style="80" bestFit="1" customWidth="1" collapsed="1"/>
    <col min="15126" max="15126" width="9" style="80" collapsed="1"/>
    <col min="15127" max="15128" width="9.625" style="80" customWidth="1" collapsed="1"/>
    <col min="15129" max="15131" width="9" style="80" collapsed="1"/>
    <col min="15132" max="15132" width="9.5" style="80" bestFit="1" customWidth="1" collapsed="1"/>
    <col min="15133" max="15363" width="9" style="80" collapsed="1"/>
    <col min="15364" max="15364" width="1.875" style="80" customWidth="1" collapsed="1"/>
    <col min="15365" max="15365" width="8.625" style="80" customWidth="1" collapsed="1"/>
    <col min="15366" max="15366" width="9" style="80" collapsed="1"/>
    <col min="15367" max="15367" width="9.5" style="80" bestFit="1" customWidth="1" collapsed="1"/>
    <col min="15368" max="15369" width="9" style="80" collapsed="1"/>
    <col min="15370" max="15377" width="8.625" style="80" customWidth="1" collapsed="1"/>
    <col min="15378" max="15378" width="10.125" style="80" customWidth="1" collapsed="1"/>
    <col min="15379" max="15379" width="9.375" style="80" customWidth="1" collapsed="1"/>
    <col min="15380" max="15380" width="9" style="80" collapsed="1"/>
    <col min="15381" max="15381" width="11.375" style="80" bestFit="1" customWidth="1" collapsed="1"/>
    <col min="15382" max="15382" width="9" style="80" collapsed="1"/>
    <col min="15383" max="15384" width="9.625" style="80" customWidth="1" collapsed="1"/>
    <col min="15385" max="15387" width="9" style="80" collapsed="1"/>
    <col min="15388" max="15388" width="9.5" style="80" bestFit="1" customWidth="1" collapsed="1"/>
    <col min="15389" max="15619" width="9" style="80" collapsed="1"/>
    <col min="15620" max="15620" width="1.875" style="80" customWidth="1" collapsed="1"/>
    <col min="15621" max="15621" width="8.625" style="80" customWidth="1" collapsed="1"/>
    <col min="15622" max="15622" width="9" style="80" collapsed="1"/>
    <col min="15623" max="15623" width="9.5" style="80" bestFit="1" customWidth="1" collapsed="1"/>
    <col min="15624" max="15625" width="9" style="80" collapsed="1"/>
    <col min="15626" max="15633" width="8.625" style="80" customWidth="1" collapsed="1"/>
    <col min="15634" max="15634" width="10.125" style="80" customWidth="1" collapsed="1"/>
    <col min="15635" max="15635" width="9.375" style="80" customWidth="1" collapsed="1"/>
    <col min="15636" max="15636" width="9" style="80" collapsed="1"/>
    <col min="15637" max="15637" width="11.375" style="80" bestFit="1" customWidth="1" collapsed="1"/>
    <col min="15638" max="15638" width="9" style="80" collapsed="1"/>
    <col min="15639" max="15640" width="9.625" style="80" customWidth="1" collapsed="1"/>
    <col min="15641" max="15643" width="9" style="80" collapsed="1"/>
    <col min="15644" max="15644" width="9.5" style="80" bestFit="1" customWidth="1" collapsed="1"/>
    <col min="15645" max="15875" width="9" style="80" collapsed="1"/>
    <col min="15876" max="15876" width="1.875" style="80" customWidth="1" collapsed="1"/>
    <col min="15877" max="15877" width="8.625" style="80" customWidth="1" collapsed="1"/>
    <col min="15878" max="15878" width="9" style="80" collapsed="1"/>
    <col min="15879" max="15879" width="9.5" style="80" bestFit="1" customWidth="1" collapsed="1"/>
    <col min="15880" max="15881" width="9" style="80" collapsed="1"/>
    <col min="15882" max="15889" width="8.625" style="80" customWidth="1" collapsed="1"/>
    <col min="15890" max="15890" width="10.125" style="80" customWidth="1" collapsed="1"/>
    <col min="15891" max="15891" width="9.375" style="80" customWidth="1" collapsed="1"/>
    <col min="15892" max="15892" width="9" style="80" collapsed="1"/>
    <col min="15893" max="15893" width="11.375" style="80" bestFit="1" customWidth="1" collapsed="1"/>
    <col min="15894" max="15894" width="9" style="80" collapsed="1"/>
    <col min="15895" max="15896" width="9.625" style="80" customWidth="1" collapsed="1"/>
    <col min="15897" max="15899" width="9" style="80" collapsed="1"/>
    <col min="15900" max="15900" width="9.5" style="80" bestFit="1" customWidth="1" collapsed="1"/>
    <col min="15901" max="16131" width="9" style="80" collapsed="1"/>
    <col min="16132" max="16132" width="1.875" style="80" customWidth="1" collapsed="1"/>
    <col min="16133" max="16133" width="8.625" style="80" customWidth="1" collapsed="1"/>
    <col min="16134" max="16134" width="9" style="80" collapsed="1"/>
    <col min="16135" max="16135" width="9.5" style="80" bestFit="1" customWidth="1" collapsed="1"/>
    <col min="16136" max="16137" width="9" style="80" collapsed="1"/>
    <col min="16138" max="16145" width="8.625" style="80" customWidth="1" collapsed="1"/>
    <col min="16146" max="16146" width="10.125" style="80" customWidth="1" collapsed="1"/>
    <col min="16147" max="16147" width="9.375" style="80" customWidth="1" collapsed="1"/>
    <col min="16148" max="16148" width="9" style="80" collapsed="1"/>
    <col min="16149" max="16149" width="11.375" style="80" bestFit="1" customWidth="1" collapsed="1"/>
    <col min="16150" max="16150" width="9" style="80" collapsed="1"/>
    <col min="16151" max="16152" width="9.625" style="80" customWidth="1" collapsed="1"/>
    <col min="16153" max="16155" width="9" style="80" collapsed="1"/>
    <col min="16156" max="16156" width="9.5" style="80" bestFit="1" customWidth="1" collapsed="1"/>
    <col min="16157" max="16384" width="9" style="80" collapsed="1"/>
  </cols>
  <sheetData>
    <row r="1" spans="1:32" ht="6.75" customHeight="1">
      <c r="A1" s="80"/>
      <c r="G1" s="79"/>
      <c r="H1" s="79"/>
      <c r="I1" s="79"/>
      <c r="J1" s="79"/>
    </row>
    <row r="2" spans="1:32" ht="6.75" customHeight="1">
      <c r="A2" s="80"/>
      <c r="G2" s="79"/>
      <c r="H2" s="79"/>
      <c r="I2" s="80"/>
      <c r="J2" s="79"/>
      <c r="L2" s="81"/>
    </row>
    <row r="3" spans="1:32" ht="21.75" thickBot="1">
      <c r="A3" s="80"/>
      <c r="B3" s="82" t="s">
        <v>207</v>
      </c>
      <c r="C3" s="993"/>
      <c r="D3" s="82" t="s">
        <v>904</v>
      </c>
      <c r="E3" s="83"/>
      <c r="F3" s="83"/>
      <c r="G3" s="83" t="s">
        <v>71</v>
      </c>
      <c r="H3" s="83"/>
      <c r="I3" s="84"/>
      <c r="J3" s="83"/>
      <c r="K3" s="83"/>
      <c r="L3" s="85"/>
      <c r="M3" s="86"/>
      <c r="N3" s="577" t="s">
        <v>73</v>
      </c>
      <c r="O3" s="576"/>
      <c r="P3" s="222"/>
      <c r="Q3" s="87"/>
      <c r="R3" s="87"/>
      <c r="S3" s="1169"/>
      <c r="T3" s="1169"/>
      <c r="U3" s="88"/>
    </row>
    <row r="4" spans="1:32" ht="8.25" customHeight="1" thickTop="1">
      <c r="A4" s="80"/>
      <c r="G4" s="79"/>
      <c r="H4" s="79"/>
      <c r="I4" s="80"/>
      <c r="J4" s="79"/>
      <c r="L4" s="81"/>
    </row>
    <row r="5" spans="1:32">
      <c r="A5" s="80"/>
      <c r="B5" s="94" t="s">
        <v>861</v>
      </c>
      <c r="C5" s="95"/>
      <c r="D5" s="95"/>
      <c r="E5" s="95"/>
      <c r="F5" s="95"/>
      <c r="G5" s="96"/>
      <c r="H5" s="96"/>
      <c r="I5" s="96"/>
      <c r="J5" s="96"/>
      <c r="K5" s="95"/>
      <c r="L5" s="97"/>
      <c r="N5" s="98"/>
      <c r="O5" s="1007" t="s">
        <v>950</v>
      </c>
      <c r="P5" s="98"/>
      <c r="Q5" s="98"/>
      <c r="R5" s="80"/>
      <c r="S5" s="80"/>
      <c r="T5" s="80"/>
      <c r="U5" s="80"/>
    </row>
    <row r="6" spans="1:32" ht="35.25" customHeight="1">
      <c r="A6" s="80"/>
      <c r="B6" s="99" t="s">
        <v>496</v>
      </c>
      <c r="C6" s="99" t="s">
        <v>497</v>
      </c>
      <c r="D6" s="99" t="s">
        <v>498</v>
      </c>
      <c r="E6" s="99" t="s">
        <v>499</v>
      </c>
      <c r="F6" s="99" t="s">
        <v>864</v>
      </c>
      <c r="G6" s="99" t="s">
        <v>865</v>
      </c>
      <c r="H6" s="99" t="s">
        <v>905</v>
      </c>
      <c r="I6" s="99" t="s">
        <v>906</v>
      </c>
      <c r="J6" s="99" t="s">
        <v>585</v>
      </c>
      <c r="K6" s="99" t="s">
        <v>208</v>
      </c>
      <c r="L6" s="99" t="s">
        <v>447</v>
      </c>
      <c r="M6" s="350" t="s">
        <v>502</v>
      </c>
      <c r="N6" s="96"/>
      <c r="O6" s="483" t="s">
        <v>588</v>
      </c>
      <c r="Q6" s="98"/>
      <c r="R6" s="98"/>
      <c r="S6" s="98"/>
      <c r="T6" s="98"/>
      <c r="U6" s="98"/>
    </row>
    <row r="7" spans="1:32" ht="21.75" customHeight="1">
      <c r="A7" s="80"/>
      <c r="B7" s="525" t="e">
        <f>(E40+F40)/(1+O20)*D40/1540.25*I20*H20*G20/1000*L15</f>
        <v>#N/A</v>
      </c>
      <c r="C7" s="525" t="e">
        <f>B7-(B7*3*N15)</f>
        <v>#N/A</v>
      </c>
      <c r="D7" s="525" t="e">
        <f>(E40+F40)/(1+O20)*D40/1540.25*I20*H20*(G20+M15)/1000*L15</f>
        <v>#N/A</v>
      </c>
      <c r="E7" s="525" t="e">
        <f>D7-(D7*3*N15)</f>
        <v>#N/A</v>
      </c>
      <c r="F7" s="526" t="e">
        <f>D46</f>
        <v>#N/A</v>
      </c>
      <c r="G7" s="527" t="e">
        <f>IF(否="是",M53,D53)</f>
        <v>#N/A</v>
      </c>
      <c r="H7" s="528" t="e">
        <f>C3*B15/BOM!N47</f>
        <v>#N/A</v>
      </c>
      <c r="I7" s="528" t="e">
        <f>C3*B15/(C11*D11*E11)*1000000</f>
        <v>#N/A</v>
      </c>
      <c r="J7" s="529" t="e">
        <f>(C35/2-E15-F34)/2</f>
        <v>#N/A</v>
      </c>
      <c r="K7" s="529" t="e">
        <f>(IF(O15="是",M52,D52)-E15-F34)/2</f>
        <v>#N/A</v>
      </c>
      <c r="L7" s="529" t="e">
        <f>G19*H19*I19/G20/H20/I20</f>
        <v>#N/A</v>
      </c>
      <c r="M7" s="148" t="e">
        <f>IF(O15="是",IF(M52+L52&lt;=F52,"方形热压ok","JR超宽！寿命中宽度方向先顶壳"),IF(D52&lt;=F52,IF(D52&lt;=E52,"常规热压ok","JR超宽！寿命中宽度方向先顶壳"),"JR超宽！无法入壳"))</f>
        <v>#N/A</v>
      </c>
      <c r="N7" s="313"/>
      <c r="O7" s="445" t="s">
        <v>435</v>
      </c>
      <c r="P7" s="957" t="s">
        <v>876</v>
      </c>
      <c r="Q7" s="958"/>
      <c r="R7" s="98"/>
      <c r="S7" s="98"/>
      <c r="T7" s="98"/>
      <c r="U7" s="98"/>
    </row>
    <row r="8" spans="1:32" ht="11.25" customHeight="1">
      <c r="A8" s="80"/>
      <c r="G8" s="79"/>
      <c r="H8" s="79"/>
      <c r="I8" s="79"/>
      <c r="J8" s="79"/>
      <c r="K8" s="983"/>
      <c r="N8" s="88"/>
      <c r="O8" s="445" t="s">
        <v>436</v>
      </c>
      <c r="P8" s="959" t="s">
        <v>877</v>
      </c>
      <c r="Q8" s="960"/>
      <c r="R8" s="88"/>
      <c r="S8" s="88"/>
      <c r="T8" s="80"/>
      <c r="U8" s="80"/>
    </row>
    <row r="9" spans="1:32">
      <c r="A9" s="80"/>
      <c r="B9" s="94" t="s">
        <v>593</v>
      </c>
      <c r="C9" s="95"/>
      <c r="D9" s="95"/>
      <c r="E9" s="95"/>
      <c r="F9" s="95"/>
      <c r="G9" s="96"/>
      <c r="H9" s="96"/>
      <c r="I9" s="96"/>
      <c r="J9" s="96"/>
      <c r="K9" s="95"/>
      <c r="O9" s="445" t="s">
        <v>437</v>
      </c>
      <c r="P9" s="961" t="s">
        <v>379</v>
      </c>
      <c r="S9" s="98"/>
      <c r="T9" s="98"/>
      <c r="U9" s="80"/>
      <c r="AE9" s="80"/>
      <c r="AF9" s="346"/>
    </row>
    <row r="10" spans="1:32" ht="21">
      <c r="A10" s="80"/>
      <c r="B10" s="99" t="s">
        <v>586</v>
      </c>
      <c r="C10" s="463" t="s">
        <v>762</v>
      </c>
      <c r="D10" s="463" t="s">
        <v>763</v>
      </c>
      <c r="E10" s="463" t="s">
        <v>764</v>
      </c>
      <c r="F10" s="453" t="s">
        <v>766</v>
      </c>
      <c r="G10" s="453" t="s">
        <v>767</v>
      </c>
      <c r="H10" s="453" t="s">
        <v>765</v>
      </c>
      <c r="I10" s="453" t="s">
        <v>761</v>
      </c>
      <c r="J10" s="453" t="s">
        <v>768</v>
      </c>
      <c r="K10" s="453" t="s">
        <v>668</v>
      </c>
      <c r="L10" s="99" t="s">
        <v>669</v>
      </c>
      <c r="M10" s="463" t="s">
        <v>322</v>
      </c>
      <c r="N10" s="475"/>
      <c r="O10" s="445" t="s">
        <v>438</v>
      </c>
      <c r="P10" s="957" t="s">
        <v>878</v>
      </c>
      <c r="U10" s="80"/>
      <c r="AE10" s="80"/>
      <c r="AF10" s="346"/>
    </row>
    <row r="11" spans="1:32">
      <c r="A11" s="80"/>
      <c r="B11" s="1001">
        <f>IF(COUNTBLANK(机械件数据库!E7:E16)&gt;0,机械件数据库!H5,机械件数据库!E5)</f>
        <v>0</v>
      </c>
      <c r="C11" s="828" t="e">
        <f>HLOOKUP(设计主界面!B11,机械件数据库!$E$5:'机械件数据库'!$DQ$48,3,FALSE)</f>
        <v>#N/A</v>
      </c>
      <c r="D11" s="828" t="e">
        <f>HLOOKUP(设计主界面!B11,机械件数据库!$E$5:'机械件数据库'!$DQ$48,4,FALSE)</f>
        <v>#N/A</v>
      </c>
      <c r="E11" s="828" t="e">
        <f>HLOOKUP(设计主界面!B11,机械件数据库!$E$5:'机械件数据库'!$DQ$48,5,FALSE)</f>
        <v>#N/A</v>
      </c>
      <c r="F11" s="828" t="e">
        <f>HLOOKUP(设计主界面!B11,机械件数据库!$E$5:'机械件数据库'!$DQ$48,6,FALSE)</f>
        <v>#N/A</v>
      </c>
      <c r="G11" s="828" t="e">
        <f>HLOOKUP(设计主界面!B11,机械件数据库!$E$5:'机械件数据库'!$DQ$48,7,FALSE)</f>
        <v>#N/A</v>
      </c>
      <c r="H11" s="828" t="e">
        <f>HLOOKUP(设计主界面!B11,机械件数据库!$E$5:'机械件数据库'!$DQ$48,8,FALSE)</f>
        <v>#N/A</v>
      </c>
      <c r="I11" s="828" t="e">
        <f>HLOOKUP(设计主界面!B11,机械件数据库!$E$5:'机械件数据库'!$DQ$48,9,FALSE)</f>
        <v>#N/A</v>
      </c>
      <c r="J11" s="828" t="e">
        <f>HLOOKUP(设计主界面!B11,机械件数据库!$E$5:'机械件数据库'!$DQ$48,10,FALSE)</f>
        <v>#N/A</v>
      </c>
      <c r="K11" s="828" t="e">
        <f>HLOOKUP(设计主界面!B11,机械件数据库!$E$5:'机械件数据库'!$DQ$48,11,FALSE)</f>
        <v>#N/A</v>
      </c>
      <c r="L11" s="529" t="e">
        <f>HLOOKUP(设计主界面!B11,机械件数据库!$E$5:'机械件数据库'!$DQ$48,12,FALSE)</f>
        <v>#N/A</v>
      </c>
      <c r="M11" s="828" t="e">
        <f>SUM(H11:L11)-H15</f>
        <v>#N/A</v>
      </c>
      <c r="N11" s="476"/>
      <c r="O11" s="445" t="s">
        <v>439</v>
      </c>
      <c r="P11" s="957" t="s">
        <v>879</v>
      </c>
      <c r="U11" s="80"/>
      <c r="AE11" s="80"/>
      <c r="AF11" s="346"/>
    </row>
    <row r="12" spans="1:32" ht="12" customHeight="1">
      <c r="A12" s="80"/>
      <c r="B12" s="100"/>
      <c r="C12" s="95"/>
      <c r="D12" s="95"/>
      <c r="E12" s="95"/>
      <c r="F12" s="95"/>
      <c r="G12" s="96"/>
      <c r="H12" s="96"/>
      <c r="I12" s="96"/>
      <c r="J12" s="96"/>
      <c r="K12" s="95"/>
      <c r="N12" s="432"/>
      <c r="O12" s="445" t="s">
        <v>440</v>
      </c>
      <c r="P12" s="957" t="s">
        <v>380</v>
      </c>
      <c r="S12" s="98"/>
      <c r="T12" s="80"/>
      <c r="U12" s="80"/>
      <c r="AE12" s="80"/>
      <c r="AF12" s="346"/>
    </row>
    <row r="13" spans="1:32">
      <c r="A13" s="80"/>
      <c r="B13" s="94" t="s">
        <v>222</v>
      </c>
      <c r="G13" s="79"/>
      <c r="I13" s="79"/>
      <c r="J13" s="79"/>
      <c r="N13" s="432"/>
      <c r="O13" s="956" t="s">
        <v>880</v>
      </c>
      <c r="P13" s="957" t="s">
        <v>881</v>
      </c>
      <c r="S13" s="88"/>
      <c r="T13" s="88"/>
      <c r="U13" s="88"/>
      <c r="V13" s="88"/>
      <c r="AE13" s="80"/>
      <c r="AF13" s="346"/>
    </row>
    <row r="14" spans="1:32" ht="22.5">
      <c r="A14" s="80"/>
      <c r="B14" s="99" t="s">
        <v>62</v>
      </c>
      <c r="C14" s="99" t="s">
        <v>446</v>
      </c>
      <c r="D14" s="99" t="s">
        <v>804</v>
      </c>
      <c r="E14" s="463" t="s">
        <v>898</v>
      </c>
      <c r="F14" s="99" t="s">
        <v>0</v>
      </c>
      <c r="G14" s="99" t="s">
        <v>1</v>
      </c>
      <c r="H14" s="309" t="s">
        <v>321</v>
      </c>
      <c r="I14" s="309" t="s">
        <v>323</v>
      </c>
      <c r="J14" s="312" t="s">
        <v>336</v>
      </c>
      <c r="K14" s="99" t="s">
        <v>337</v>
      </c>
      <c r="L14" s="99" t="s">
        <v>2</v>
      </c>
      <c r="M14" s="463" t="s">
        <v>923</v>
      </c>
      <c r="N14" s="463" t="s">
        <v>922</v>
      </c>
      <c r="O14" s="463" t="s">
        <v>503</v>
      </c>
      <c r="P14" s="463" t="s">
        <v>451</v>
      </c>
      <c r="R14" s="80"/>
      <c r="S14" s="80"/>
      <c r="T14" s="80"/>
      <c r="U14" s="80"/>
    </row>
    <row r="15" spans="1:32">
      <c r="A15" s="80"/>
      <c r="B15" s="1012"/>
      <c r="C15" s="1013"/>
      <c r="D15" s="512"/>
      <c r="E15" s="487"/>
      <c r="F15" s="487"/>
      <c r="G15" s="487"/>
      <c r="H15" s="487"/>
      <c r="I15" s="487"/>
      <c r="J15" s="487"/>
      <c r="K15" s="487"/>
      <c r="L15" s="487"/>
      <c r="M15" s="487"/>
      <c r="N15" s="1014"/>
      <c r="O15" s="513" t="s">
        <v>826</v>
      </c>
      <c r="P15" s="409" t="s">
        <v>595</v>
      </c>
      <c r="R15" s="80"/>
      <c r="S15" s="80"/>
      <c r="T15" s="80"/>
      <c r="U15" s="80"/>
    </row>
    <row r="16" spans="1:32" ht="12" customHeight="1">
      <c r="A16" s="80"/>
      <c r="B16" s="100"/>
      <c r="C16" s="95"/>
      <c r="D16" s="95"/>
      <c r="E16" s="95"/>
      <c r="F16" s="95"/>
      <c r="G16" s="96"/>
      <c r="H16" s="96"/>
      <c r="I16" s="96"/>
      <c r="J16" s="96"/>
      <c r="K16" s="95"/>
      <c r="L16" s="97"/>
      <c r="N16" s="98"/>
      <c r="O16" s="474"/>
      <c r="P16" s="482"/>
      <c r="Q16" s="98"/>
      <c r="R16" s="98"/>
      <c r="S16" s="98"/>
      <c r="T16" s="80"/>
      <c r="U16" s="80"/>
      <c r="Y16" s="964"/>
      <c r="Z16" s="965"/>
    </row>
    <row r="17" spans="1:33">
      <c r="A17" s="80"/>
      <c r="B17" s="94" t="s">
        <v>225</v>
      </c>
      <c r="C17" s="95"/>
      <c r="D17" s="95"/>
      <c r="E17" s="95"/>
      <c r="F17" s="95"/>
      <c r="G17" s="96"/>
      <c r="H17" s="96"/>
      <c r="I17" s="96"/>
      <c r="J17" s="96"/>
      <c r="K17" s="95"/>
      <c r="L17" s="97"/>
      <c r="N17" s="98"/>
      <c r="P17" s="98"/>
      <c r="Q17" s="98"/>
      <c r="R17" s="98"/>
      <c r="S17" s="98"/>
      <c r="T17" s="80"/>
      <c r="U17" s="80"/>
      <c r="Y17" s="964"/>
      <c r="Z17" s="965"/>
    </row>
    <row r="18" spans="1:33" ht="33.75">
      <c r="A18" s="102"/>
      <c r="B18" s="103" t="s">
        <v>592</v>
      </c>
      <c r="C18" s="99" t="s">
        <v>69</v>
      </c>
      <c r="D18" s="312" t="s">
        <v>594</v>
      </c>
      <c r="E18" s="99" t="s">
        <v>646</v>
      </c>
      <c r="F18" s="99" t="s">
        <v>647</v>
      </c>
      <c r="G18" s="99" t="s">
        <v>638</v>
      </c>
      <c r="H18" s="99" t="s">
        <v>4</v>
      </c>
      <c r="I18" s="99" t="s">
        <v>213</v>
      </c>
      <c r="J18" s="99" t="s">
        <v>635</v>
      </c>
      <c r="K18" s="404" t="s">
        <v>372</v>
      </c>
      <c r="L18" s="404" t="s">
        <v>934</v>
      </c>
      <c r="M18" s="404" t="s">
        <v>373</v>
      </c>
      <c r="N18" s="99" t="s">
        <v>374</v>
      </c>
      <c r="O18" s="463" t="s">
        <v>492</v>
      </c>
      <c r="P18" s="463" t="s">
        <v>596</v>
      </c>
      <c r="Q18" s="463" t="s">
        <v>448</v>
      </c>
      <c r="R18" s="80"/>
      <c r="S18" s="80"/>
      <c r="T18" s="80"/>
      <c r="U18" s="80"/>
      <c r="AE18" s="80"/>
      <c r="AG18" s="346"/>
    </row>
    <row r="19" spans="1:33" ht="18.75" customHeight="1">
      <c r="B19" s="106" t="s">
        <v>8</v>
      </c>
      <c r="C19" s="514"/>
      <c r="D19" s="487"/>
      <c r="E19" s="829" t="e">
        <f>VLOOKUP(C19,材料数据库!D6:Q18,3,0)</f>
        <v>#N/A</v>
      </c>
      <c r="F19" s="829" t="e">
        <f>VLOOKUP(C19,材料数据库!D6:Q18,4,0)</f>
        <v>#N/A</v>
      </c>
      <c r="G19" s="829" t="e">
        <f>VLOOKUP(C19,材料数据库!D6:Q18,5,0)</f>
        <v>#N/A</v>
      </c>
      <c r="H19" s="830" t="e">
        <f>VLOOKUP(C19,材料数据库!D6:Q18,6,0)</f>
        <v>#N/A</v>
      </c>
      <c r="I19" s="530" t="e">
        <f>E20*H20*I20/(1+O20)*C15/(E19*H19/(1+O19))</f>
        <v>#N/A</v>
      </c>
      <c r="J19" s="525" t="e">
        <f>VLOOKUP(C19,材料数据库!D6:Q18,7,0)</f>
        <v>#N/A</v>
      </c>
      <c r="K19" s="831" t="e">
        <f>VLOOKUP(C19,材料数据库!D6:Q18,8,0)</f>
        <v>#N/A</v>
      </c>
      <c r="L19" s="831" t="e">
        <f>VLOOKUP(C19,材料数据库!D6:Q18,9,0)</f>
        <v>#N/A</v>
      </c>
      <c r="M19" s="1009" t="e">
        <f>VLOOKUP(C19,材料数据库!D6:Q18,10,0)</f>
        <v>#N/A</v>
      </c>
      <c r="N19" s="832" t="e">
        <f>VLOOKUP(C19,材料数据库!D6:Q18,11,0)</f>
        <v>#N/A</v>
      </c>
      <c r="O19" s="833" t="e">
        <f>VLOOKUP(C19,材料数据库!D6:Q18,12,0)</f>
        <v>#N/A</v>
      </c>
      <c r="P19" s="833" t="e">
        <f>VLOOKUP(C19,材料数据库!D6:Q18,14,0)</f>
        <v>#N/A</v>
      </c>
      <c r="Q19" s="513" t="s">
        <v>513</v>
      </c>
      <c r="R19" s="457" t="s">
        <v>449</v>
      </c>
      <c r="S19" s="80"/>
      <c r="T19" s="80"/>
      <c r="U19" s="963"/>
      <c r="AE19" s="80"/>
      <c r="AG19" s="346"/>
    </row>
    <row r="20" spans="1:33">
      <c r="B20" s="106" t="s">
        <v>9</v>
      </c>
      <c r="C20" s="514"/>
      <c r="D20" s="530">
        <f>D21+D22</f>
        <v>0</v>
      </c>
      <c r="E20" s="829" t="e">
        <f>VLOOKUP(C20,材料数据库!D25:Q37,3,0)</f>
        <v>#N/A</v>
      </c>
      <c r="F20" s="829" t="e">
        <f>VLOOKUP(C20,材料数据库!D25:Q37,4,0)</f>
        <v>#N/A</v>
      </c>
      <c r="G20" s="829" t="e">
        <f>VLOOKUP(C20,材料数据库!D25:Q37,5,0)</f>
        <v>#N/A</v>
      </c>
      <c r="H20" s="830" t="e">
        <f>VLOOKUP(C20,材料数据库!D25:Q37,6,0)</f>
        <v>#N/A</v>
      </c>
      <c r="I20" s="1014"/>
      <c r="J20" s="525" t="e">
        <f>VLOOKUP(C20,材料数据库!D25:Q37,7,0)</f>
        <v>#N/A</v>
      </c>
      <c r="K20" s="831" t="e">
        <f>VLOOKUP(C20,材料数据库!D25:Q37,8,0)</f>
        <v>#N/A</v>
      </c>
      <c r="L20" s="831" t="e">
        <f>VLOOKUP(C20,材料数据库!D25:P37,9,0)</f>
        <v>#N/A</v>
      </c>
      <c r="M20" s="1009" t="e">
        <f>VLOOKUP(C20,材料数据库!D25:Q37,10,0)</f>
        <v>#N/A</v>
      </c>
      <c r="N20" s="832" t="e">
        <f>VLOOKUP(C20,材料数据库!D25:Q37,11,0)</f>
        <v>#N/A</v>
      </c>
      <c r="O20" s="833" t="e">
        <f>VLOOKUP(C20,材料数据库!D25:Q37,12,0)</f>
        <v>#N/A</v>
      </c>
      <c r="P20" s="833" t="e">
        <f>VLOOKUP(C20,材料数据库!D25:Q37,14,0)</f>
        <v>#N/A</v>
      </c>
      <c r="Q20" s="513" t="s">
        <v>513</v>
      </c>
      <c r="R20" s="457" t="s">
        <v>450</v>
      </c>
      <c r="S20" s="80"/>
      <c r="T20" s="80"/>
      <c r="U20" s="962"/>
      <c r="AE20" s="80"/>
      <c r="AG20" s="346"/>
    </row>
    <row r="21" spans="1:33">
      <c r="B21" s="1150" t="s">
        <v>504</v>
      </c>
      <c r="C21" s="510" t="s">
        <v>505</v>
      </c>
      <c r="D21" s="487"/>
      <c r="E21" s="484"/>
      <c r="F21" s="484"/>
      <c r="G21" s="485"/>
      <c r="H21" s="486"/>
      <c r="I21" s="457"/>
      <c r="J21" s="80"/>
      <c r="K21" s="80"/>
      <c r="L21" s="80"/>
      <c r="M21" s="80"/>
      <c r="N21" s="80"/>
      <c r="O21" s="80"/>
      <c r="P21" s="80"/>
      <c r="Q21" s="80"/>
      <c r="R21" s="80"/>
      <c r="S21" s="80"/>
      <c r="T21" s="699"/>
      <c r="U21" s="962"/>
      <c r="Y21" s="346"/>
      <c r="AE21" s="80"/>
    </row>
    <row r="22" spans="1:33">
      <c r="B22" s="1151"/>
      <c r="C22" s="510" t="s">
        <v>506</v>
      </c>
      <c r="D22" s="1014"/>
      <c r="E22" s="484"/>
      <c r="F22" s="484"/>
      <c r="G22" s="485"/>
      <c r="H22" s="486"/>
      <c r="I22" s="457"/>
      <c r="J22" s="80"/>
      <c r="K22" s="80"/>
      <c r="L22" s="80"/>
      <c r="M22" s="80"/>
      <c r="N22" s="80"/>
      <c r="O22" s="80"/>
      <c r="P22" s="80"/>
      <c r="Q22" s="80"/>
      <c r="R22" s="80"/>
      <c r="S22" s="80"/>
      <c r="T22" s="80"/>
      <c r="U22" s="80"/>
      <c r="Y22" s="346"/>
      <c r="AE22" s="80"/>
    </row>
    <row r="23" spans="1:33" ht="22.5">
      <c r="B23" s="1150" t="s">
        <v>70</v>
      </c>
      <c r="C23" s="515" t="s">
        <v>734</v>
      </c>
      <c r="D23" s="530" t="e">
        <f>D24+D25+D26</f>
        <v>#N/A</v>
      </c>
      <c r="E23" s="310"/>
      <c r="F23" s="708" t="s">
        <v>628</v>
      </c>
      <c r="G23" s="705" t="s">
        <v>629</v>
      </c>
      <c r="H23" s="710" t="s">
        <v>634</v>
      </c>
      <c r="I23" s="706" t="s">
        <v>637</v>
      </c>
      <c r="J23" s="706" t="s">
        <v>636</v>
      </c>
      <c r="K23" s="707"/>
      <c r="L23" s="708" t="s">
        <v>630</v>
      </c>
      <c r="M23" s="705" t="s">
        <v>629</v>
      </c>
      <c r="N23" s="710" t="s">
        <v>634</v>
      </c>
      <c r="O23" s="706" t="s">
        <v>637</v>
      </c>
      <c r="P23" s="706" t="s">
        <v>636</v>
      </c>
      <c r="Q23" s="80"/>
      <c r="R23" s="80"/>
      <c r="S23" s="80"/>
      <c r="T23" s="80"/>
      <c r="U23" s="80"/>
      <c r="Y23" s="346"/>
      <c r="AE23" s="80"/>
    </row>
    <row r="24" spans="1:33">
      <c r="B24" s="1159"/>
      <c r="C24" s="516"/>
      <c r="D24" s="834" t="e">
        <f>VLOOKUP(C24,材料数据库!C45:J67,5,FALSE)/1000</f>
        <v>#N/A</v>
      </c>
      <c r="E24" s="310"/>
      <c r="F24" s="710" t="s">
        <v>623</v>
      </c>
      <c r="G24" s="1014"/>
      <c r="H24" s="1014"/>
      <c r="I24" s="835">
        <f>I20+G24</f>
        <v>0</v>
      </c>
      <c r="J24" s="836" t="e">
        <f>(I20+G24)*2/(1+O20)/(I40-H25-D20/(1+O20))/1540.25*1000</f>
        <v>#N/A</v>
      </c>
      <c r="K24" s="707"/>
      <c r="L24" s="710" t="s">
        <v>631</v>
      </c>
      <c r="M24" s="1014"/>
      <c r="N24" s="1014"/>
      <c r="O24" s="837" t="e">
        <f>I19-M24</f>
        <v>#N/A</v>
      </c>
      <c r="P24" s="838" t="e">
        <f>(I19-M24)*2/(1+O19)/(I39+N25-D19/(1+O19))/1540.25*1000</f>
        <v>#N/A</v>
      </c>
      <c r="Q24" s="80"/>
      <c r="R24" s="80"/>
      <c r="S24" s="80"/>
      <c r="T24" s="80"/>
      <c r="U24" s="80"/>
      <c r="Z24" s="346"/>
      <c r="AE24" s="80"/>
    </row>
    <row r="25" spans="1:33">
      <c r="B25" s="1159"/>
      <c r="C25" s="516" t="s">
        <v>790</v>
      </c>
      <c r="D25" s="1014"/>
      <c r="E25" s="310"/>
      <c r="F25" s="710" t="s">
        <v>624</v>
      </c>
      <c r="G25" s="1014"/>
      <c r="H25" s="1014"/>
      <c r="I25" s="835">
        <f>I20-G25</f>
        <v>0</v>
      </c>
      <c r="J25" s="836" t="e">
        <f>(I20-G25)*2/(1+O20)/(I40+H24-D20/(1+O20))/1540.25*1000</f>
        <v>#N/A</v>
      </c>
      <c r="K25" s="707"/>
      <c r="L25" s="710" t="s">
        <v>632</v>
      </c>
      <c r="M25" s="1014"/>
      <c r="N25" s="1014"/>
      <c r="O25" s="837" t="e">
        <f>I19+M24</f>
        <v>#N/A</v>
      </c>
      <c r="P25" s="838" t="e">
        <f>(I19+M25)*2/(1+O19)/(I39-N24-D19/(1+O19))/1540.25*1000</f>
        <v>#N/A</v>
      </c>
      <c r="Q25" s="80"/>
      <c r="R25" s="80"/>
      <c r="S25" s="80"/>
      <c r="T25" s="80"/>
      <c r="U25" s="80"/>
      <c r="Z25" s="346"/>
      <c r="AE25" s="80"/>
    </row>
    <row r="26" spans="1:33">
      <c r="B26" s="1159"/>
      <c r="C26" s="511" t="s">
        <v>344</v>
      </c>
      <c r="D26" s="1014"/>
      <c r="E26" s="322" t="s">
        <v>912</v>
      </c>
      <c r="F26" s="98"/>
      <c r="G26" s="98"/>
      <c r="H26" s="80"/>
      <c r="I26" s="80"/>
      <c r="J26" s="80"/>
      <c r="K26" s="80"/>
      <c r="L26" s="457"/>
      <c r="M26" s="80"/>
      <c r="N26" s="80"/>
      <c r="O26" s="80"/>
      <c r="P26" s="80"/>
      <c r="Q26" s="80"/>
      <c r="R26" s="80"/>
      <c r="S26" s="80"/>
      <c r="T26" s="80"/>
      <c r="U26" s="80"/>
      <c r="Z26" s="346"/>
      <c r="AE26" s="80"/>
    </row>
    <row r="27" spans="1:33">
      <c r="B27" s="1151"/>
      <c r="C27" s="511" t="s">
        <v>345</v>
      </c>
      <c r="D27" s="1014"/>
      <c r="E27" s="323" t="s">
        <v>913</v>
      </c>
      <c r="F27" s="98"/>
      <c r="H27" s="708" t="s">
        <v>648</v>
      </c>
      <c r="I27" s="709" t="s">
        <v>625</v>
      </c>
      <c r="J27" s="709" t="s">
        <v>626</v>
      </c>
      <c r="L27" s="1158" t="s">
        <v>639</v>
      </c>
      <c r="M27" s="1158"/>
      <c r="N27" s="1170" t="s">
        <v>642</v>
      </c>
      <c r="O27" s="1170"/>
      <c r="P27" s="1164" t="s">
        <v>649</v>
      </c>
      <c r="Q27" s="80"/>
      <c r="R27" s="80"/>
      <c r="S27" s="80"/>
      <c r="T27" s="80"/>
      <c r="U27" s="80"/>
      <c r="V27" s="346"/>
      <c r="AE27" s="80"/>
    </row>
    <row r="28" spans="1:33">
      <c r="B28" s="1160" t="s">
        <v>346</v>
      </c>
      <c r="C28" s="511" t="s">
        <v>347</v>
      </c>
      <c r="D28" s="1014"/>
      <c r="E28" s="322" t="s">
        <v>640</v>
      </c>
      <c r="F28" s="98"/>
      <c r="H28" s="710" t="s">
        <v>633</v>
      </c>
      <c r="I28" s="837" t="e">
        <f>(I19-M24)/(I20+G24)*(H19*E19/(1+O19)/H20/E20*(1+O20))</f>
        <v>#N/A</v>
      </c>
      <c r="J28" s="837" t="e">
        <f>(I19-M24)/(I20+G24)*(H19*G19/(1+O19)/H20/G20*(1+O20))</f>
        <v>#N/A</v>
      </c>
      <c r="L28" s="1158"/>
      <c r="M28" s="1158"/>
      <c r="N28" s="1170"/>
      <c r="O28" s="1170"/>
      <c r="P28" s="1165"/>
      <c r="Q28" s="80"/>
      <c r="R28" s="80"/>
      <c r="S28" s="80"/>
      <c r="T28" s="80"/>
      <c r="U28" s="80"/>
      <c r="V28" s="346"/>
      <c r="AE28" s="80"/>
    </row>
    <row r="29" spans="1:33">
      <c r="B29" s="1161"/>
      <c r="C29" s="511" t="s">
        <v>348</v>
      </c>
      <c r="D29" s="1014"/>
      <c r="E29" s="322" t="s">
        <v>641</v>
      </c>
      <c r="F29" s="98"/>
      <c r="H29" s="710" t="s">
        <v>627</v>
      </c>
      <c r="I29" s="837" t="e">
        <f>(I19+M24)/(I20-G25)*(H19*E19/(1+O19)/H20/E20*(1+O20))</f>
        <v>#N/A</v>
      </c>
      <c r="J29" s="837" t="e">
        <f>(I19+M24)/(I20-G25)*(H19*G19/(1+O19)/H20/G20*(1+O20))</f>
        <v>#N/A</v>
      </c>
      <c r="L29" s="1162" t="e">
        <f>(E20-F20)*H20*I20/(1+O20)</f>
        <v>#N/A</v>
      </c>
      <c r="M29" s="1163"/>
      <c r="N29" s="1167" t="e">
        <f>(E19-F19)*H19*I19/(1+O19)</f>
        <v>#N/A</v>
      </c>
      <c r="O29" s="1168"/>
      <c r="P29" s="839" t="e">
        <f>(L29-N29)/F20</f>
        <v>#N/A</v>
      </c>
      <c r="Q29" s="80"/>
      <c r="R29" s="80"/>
      <c r="S29" s="80"/>
      <c r="T29" s="80"/>
      <c r="U29" s="80"/>
      <c r="V29" s="346"/>
      <c r="AE29" s="80"/>
    </row>
    <row r="30" spans="1:33" ht="20.25" customHeight="1">
      <c r="B30" s="823" t="s">
        <v>850</v>
      </c>
      <c r="C30" s="821"/>
      <c r="D30" s="822"/>
      <c r="E30" s="110"/>
      <c r="F30" s="109"/>
      <c r="G30" s="109"/>
      <c r="H30" s="109"/>
      <c r="I30" s="321"/>
      <c r="J30" s="310"/>
      <c r="K30" s="98"/>
      <c r="L30" s="1166" t="e">
        <f>IF(P29=0,"阴阳极正好均衡，SOC无偏移",IF(P29&gt;0,"SOC偏移大于0,首次充电后阴极的不可逆容量较大,有部分Li+藏在阳极中无法顺利脱出,电芯实际的SOC较高对析锂和过充不利，但如寿命过充中阳极衰减比较快则有类似补锂的效果，如阴极衰减比较快则析锂和过充风险加剧","SOC偏移小于0,首次充电后阳极的不可逆容量较大,放电时阴极有部分Li+空位没有填满,电芯实际的SOC较低对析锂和过充有利，但如寿命过充中阳极衰减比较快则整体衰减比较明显，如阴极衰减比较快则衰减比较缓和"))</f>
        <v>#N/A</v>
      </c>
      <c r="M30" s="1166"/>
      <c r="N30" s="1166"/>
      <c r="O30" s="1166"/>
      <c r="P30" s="1166"/>
      <c r="Q30" s="1166"/>
      <c r="R30" s="80"/>
      <c r="S30" s="80"/>
      <c r="T30" s="80"/>
      <c r="U30" s="80"/>
    </row>
    <row r="31" spans="1:33" ht="9" customHeight="1">
      <c r="C31" s="108"/>
      <c r="D31" s="109"/>
      <c r="E31" s="110"/>
      <c r="F31" s="109"/>
      <c r="G31" s="109"/>
      <c r="H31" s="109"/>
      <c r="I31" s="111"/>
      <c r="J31" s="111"/>
      <c r="K31" s="112"/>
      <c r="L31" s="711"/>
      <c r="M31" s="97"/>
      <c r="N31" s="97"/>
      <c r="O31" s="97"/>
      <c r="Q31" s="98"/>
      <c r="R31" s="98"/>
      <c r="S31" s="98"/>
      <c r="T31" s="98"/>
      <c r="U31" s="98"/>
    </row>
    <row r="32" spans="1:33" ht="15.75" customHeight="1">
      <c r="A32" s="80"/>
      <c r="B32" s="94" t="s">
        <v>223</v>
      </c>
      <c r="C32" s="113"/>
      <c r="D32" s="96"/>
      <c r="E32" s="94" t="s">
        <v>381</v>
      </c>
      <c r="F32" s="98"/>
      <c r="G32" s="98"/>
      <c r="H32" s="80"/>
      <c r="I32" s="94" t="s">
        <v>224</v>
      </c>
      <c r="J32" s="98"/>
      <c r="K32" s="88"/>
      <c r="L32" s="97"/>
      <c r="N32" s="98"/>
      <c r="O32" s="98"/>
      <c r="P32" s="98"/>
      <c r="Q32" s="457"/>
      <c r="R32" s="80"/>
      <c r="S32" s="80"/>
      <c r="T32" s="80"/>
      <c r="U32" s="80"/>
    </row>
    <row r="33" spans="1:32" ht="28.5" customHeight="1">
      <c r="A33" s="80"/>
      <c r="B33" s="114" t="s">
        <v>209</v>
      </c>
      <c r="C33" s="115" t="s">
        <v>210</v>
      </c>
      <c r="D33" s="96"/>
      <c r="E33" s="410" t="s">
        <v>382</v>
      </c>
      <c r="F33" s="410" t="s">
        <v>383</v>
      </c>
      <c r="G33" s="411" t="s">
        <v>160</v>
      </c>
      <c r="H33" s="98"/>
      <c r="I33" s="99" t="s">
        <v>61</v>
      </c>
      <c r="J33" s="99" t="s">
        <v>316</v>
      </c>
      <c r="K33" s="455" t="s">
        <v>889</v>
      </c>
      <c r="L33" s="477" t="s">
        <v>901</v>
      </c>
      <c r="M33" s="477" t="s">
        <v>902</v>
      </c>
      <c r="N33" s="463" t="s">
        <v>313</v>
      </c>
      <c r="O33" s="116" t="s">
        <v>314</v>
      </c>
      <c r="P33" s="117" t="s">
        <v>315</v>
      </c>
      <c r="Q33" s="98"/>
      <c r="R33" s="80"/>
      <c r="S33" s="80"/>
      <c r="T33" s="80"/>
      <c r="U33" s="80"/>
      <c r="AE33" s="80"/>
      <c r="AF33" s="346"/>
    </row>
    <row r="34" spans="1:32" ht="15.75" customHeight="1">
      <c r="A34" s="80"/>
      <c r="B34" s="119" t="s">
        <v>211</v>
      </c>
      <c r="C34" s="1014"/>
      <c r="E34" s="1014"/>
      <c r="F34" s="1014"/>
      <c r="G34" s="1014"/>
      <c r="H34" s="98"/>
      <c r="I34" s="409"/>
      <c r="J34" s="1014"/>
      <c r="K34" s="531" t="e">
        <f>残空间计算!F5</f>
        <v>#N/A</v>
      </c>
      <c r="L34" s="531" t="e">
        <f>残空间计算!H41</f>
        <v>#N/A</v>
      </c>
      <c r="M34" s="532" t="e">
        <f>残空间计算!F29/残空间计算!H41</f>
        <v>#N/A</v>
      </c>
      <c r="N34" s="525" t="e">
        <f>J34/B7</f>
        <v>#N/A</v>
      </c>
      <c r="O34" s="525" t="e">
        <f>残空间计算!H41*残空间计算!D29/设计主界面!B7</f>
        <v>#N/A</v>
      </c>
      <c r="P34" s="533" t="e">
        <f>N34+残空间计算!F5*残空间计算!D29/设计主界面!B7</f>
        <v>#N/A</v>
      </c>
      <c r="Q34" s="98"/>
      <c r="R34" s="80"/>
      <c r="S34" s="80"/>
      <c r="T34" s="80"/>
      <c r="U34" s="80"/>
      <c r="AE34" s="80"/>
      <c r="AF34" s="346"/>
    </row>
    <row r="35" spans="1:32" ht="15.75" customHeight="1">
      <c r="A35" s="80"/>
      <c r="B35" s="120" t="s">
        <v>212</v>
      </c>
      <c r="C35" s="533" t="e">
        <f>C34+2*PI()*(C41*3)</f>
        <v>#N/A</v>
      </c>
      <c r="E35" s="96"/>
      <c r="F35" s="96"/>
      <c r="G35" s="95"/>
      <c r="H35" s="97"/>
      <c r="I35" s="79"/>
      <c r="J35" s="98"/>
      <c r="K35" s="98"/>
      <c r="L35" s="98"/>
      <c r="M35" s="98"/>
      <c r="N35" s="98"/>
      <c r="O35" s="98"/>
      <c r="P35" s="80"/>
      <c r="Q35" s="80"/>
      <c r="R35" s="80"/>
      <c r="S35" s="80"/>
      <c r="T35" s="80"/>
      <c r="U35" s="80"/>
    </row>
    <row r="36" spans="1:32" s="129" customFormat="1" ht="9" customHeight="1">
      <c r="A36" s="122"/>
      <c r="B36" s="123"/>
      <c r="C36" s="124"/>
      <c r="D36" s="124"/>
      <c r="F36" s="125"/>
      <c r="G36" s="125"/>
      <c r="H36" s="125"/>
      <c r="I36" s="125"/>
      <c r="J36" s="125"/>
      <c r="K36" s="125"/>
      <c r="L36" s="125"/>
      <c r="M36" s="126"/>
      <c r="N36" s="127"/>
      <c r="O36" s="128"/>
      <c r="P36" s="127"/>
      <c r="Q36" s="127"/>
      <c r="R36" s="127"/>
      <c r="S36" s="127"/>
      <c r="AE36" s="347"/>
    </row>
    <row r="37" spans="1:32">
      <c r="B37" s="94" t="s">
        <v>302</v>
      </c>
      <c r="C37" s="108"/>
      <c r="D37" s="109"/>
      <c r="E37" s="110"/>
      <c r="F37" s="109"/>
      <c r="G37" s="109"/>
      <c r="H37" s="109"/>
      <c r="I37" s="111"/>
      <c r="J37" s="111"/>
      <c r="K37" s="112"/>
      <c r="L37" s="93"/>
      <c r="M37" s="97"/>
      <c r="N37" s="97"/>
      <c r="O37" s="97"/>
      <c r="Q37" s="98"/>
      <c r="R37" s="98"/>
      <c r="S37" s="98"/>
      <c r="T37" s="98"/>
      <c r="U37" s="98"/>
    </row>
    <row r="38" spans="1:32" ht="22.5">
      <c r="B38" s="103" t="s">
        <v>3</v>
      </c>
      <c r="C38" s="99" t="s">
        <v>349</v>
      </c>
      <c r="D38" s="99" t="s">
        <v>292</v>
      </c>
      <c r="E38" s="456" t="s">
        <v>620</v>
      </c>
      <c r="F38" s="456" t="s">
        <v>621</v>
      </c>
      <c r="G38" s="456" t="s">
        <v>622</v>
      </c>
      <c r="H38" s="99" t="s">
        <v>909</v>
      </c>
      <c r="I38" s="99" t="s">
        <v>5</v>
      </c>
      <c r="J38" s="104" t="s">
        <v>6</v>
      </c>
      <c r="K38" s="104" t="s">
        <v>7</v>
      </c>
      <c r="L38" s="99" t="s">
        <v>935</v>
      </c>
      <c r="M38" s="99" t="s">
        <v>64</v>
      </c>
      <c r="N38" s="97"/>
      <c r="O38" s="97"/>
      <c r="P38" s="97"/>
      <c r="R38" s="98"/>
      <c r="S38" s="98"/>
      <c r="T38" s="98"/>
      <c r="U38" s="98"/>
      <c r="V38" s="98"/>
      <c r="AE38" s="80"/>
      <c r="AF38" s="346"/>
    </row>
    <row r="39" spans="1:32">
      <c r="B39" s="106" t="s">
        <v>8</v>
      </c>
      <c r="C39" s="530">
        <f>D19</f>
        <v>0</v>
      </c>
      <c r="D39" s="528" t="e">
        <f>D41-G15</f>
        <v>#N/A</v>
      </c>
      <c r="E39" s="525" t="e">
        <f>VLOOKUP(IF(Q20="间歇",D15,D15+2),模切尺寸!U53:AC149,8,FALSE)</f>
        <v>#N/A</v>
      </c>
      <c r="F39" s="525" t="e">
        <f>E39-G39</f>
        <v>#N/A</v>
      </c>
      <c r="G39" s="528">
        <f>IF(Q19="间歇",模切尺寸!Z53+模切尺寸!Z54,0)</f>
        <v>0</v>
      </c>
      <c r="H39" s="534" t="e">
        <f>I19/(1+O19)/1540.25*1000/J19</f>
        <v>#N/A</v>
      </c>
      <c r="I39" s="530" t="e">
        <f>H39*2+D19/(1+O19)</f>
        <v>#N/A</v>
      </c>
      <c r="J39" s="535" t="e">
        <f>I39*(1+K19)</f>
        <v>#N/A</v>
      </c>
      <c r="K39" s="536" t="e">
        <f>I39*(1+L19)</f>
        <v>#N/A</v>
      </c>
      <c r="L39" s="530" t="e">
        <f>I39*(1+M19)</f>
        <v>#N/A</v>
      </c>
      <c r="M39" s="530" t="e">
        <f>I39*(1+N19)</f>
        <v>#N/A</v>
      </c>
      <c r="N39" s="97"/>
      <c r="O39" s="97"/>
      <c r="P39" s="97"/>
      <c r="R39" s="98"/>
      <c r="S39" s="98"/>
      <c r="T39" s="98"/>
      <c r="U39" s="98"/>
      <c r="V39" s="98"/>
      <c r="AE39" s="80"/>
      <c r="AF39" s="346"/>
    </row>
    <row r="40" spans="1:32">
      <c r="B40" s="106" t="s">
        <v>9</v>
      </c>
      <c r="C40" s="530">
        <f>D20+D29</f>
        <v>0</v>
      </c>
      <c r="D40" s="528" t="e">
        <f>+D39-F15</f>
        <v>#N/A</v>
      </c>
      <c r="E40" s="525" t="e">
        <f>VLOOKUP(D15,模切尺寸!U53:AC149,9,FALSE)-K15</f>
        <v>#N/A</v>
      </c>
      <c r="F40" s="525" t="e">
        <f>E40-G40</f>
        <v>#N/A</v>
      </c>
      <c r="G40" s="528">
        <f>IF(Q20="间歇",VLOOKUP(D15,模切尺寸!U53:AA149,7,FALSE)+VLOOKUP(D15-1,模切尺寸!U53:AA149,7,FALSE),0)</f>
        <v>0</v>
      </c>
      <c r="H40" s="534" t="e">
        <f>I20/(1+O20)/1540.25*1000/J20</f>
        <v>#N/A</v>
      </c>
      <c r="I40" s="530" t="e">
        <f>H40*2+D20/(1+O20)</f>
        <v>#N/A</v>
      </c>
      <c r="J40" s="535" t="e">
        <f>I40*(1+K20)</f>
        <v>#N/A</v>
      </c>
      <c r="K40" s="536" t="e">
        <f>I40*(1+L20)</f>
        <v>#N/A</v>
      </c>
      <c r="L40" s="530" t="e">
        <f>I40*(1+M20)</f>
        <v>#N/A</v>
      </c>
      <c r="M40" s="530" t="e">
        <f>I40*(1+N20)</f>
        <v>#N/A</v>
      </c>
      <c r="N40" s="97"/>
      <c r="O40" s="97"/>
      <c r="P40" s="97"/>
      <c r="R40" s="98"/>
      <c r="S40" s="98"/>
      <c r="T40" s="98"/>
      <c r="U40" s="98"/>
      <c r="V40" s="98"/>
      <c r="AE40" s="80"/>
      <c r="AF40" s="346"/>
    </row>
    <row r="41" spans="1:32">
      <c r="B41" s="106" t="s">
        <v>70</v>
      </c>
      <c r="C41" s="530" t="e">
        <f>D24+D25+D27</f>
        <v>#N/A</v>
      </c>
      <c r="D41" s="537" t="e">
        <f>E11-I15</f>
        <v>#N/A</v>
      </c>
      <c r="E41" s="528" t="e">
        <f>$C$34*1.5*2+VLOOKUP(IF(Q20="间歇",D15+1,D15+3),模切尺寸!$U$53:$AC$149,8,FALSE)*2</f>
        <v>#N/A</v>
      </c>
      <c r="F41" s="354"/>
      <c r="G41" s="354"/>
      <c r="H41" s="354"/>
      <c r="I41" s="141"/>
      <c r="J41" s="538"/>
      <c r="K41" s="538"/>
      <c r="L41" s="93"/>
      <c r="M41" s="354"/>
      <c r="N41" s="97"/>
      <c r="O41" s="97"/>
      <c r="Q41" s="98"/>
      <c r="R41" s="98"/>
      <c r="S41" s="98"/>
      <c r="T41" s="98"/>
      <c r="U41" s="98"/>
    </row>
    <row r="42" spans="1:32" ht="10.5" customHeight="1">
      <c r="B42" s="107"/>
      <c r="C42" s="111"/>
      <c r="D42" s="112"/>
      <c r="E42" s="93"/>
      <c r="F42" s="354"/>
      <c r="G42" s="354"/>
      <c r="H42" s="354"/>
      <c r="I42" s="142"/>
      <c r="J42" s="354"/>
      <c r="K42" s="141"/>
      <c r="L42" s="354"/>
      <c r="M42" s="141"/>
      <c r="N42" s="98"/>
      <c r="O42" s="97"/>
      <c r="Q42" s="98"/>
      <c r="R42" s="98"/>
      <c r="S42" s="98"/>
      <c r="T42" s="98"/>
      <c r="U42" s="98"/>
    </row>
    <row r="43" spans="1:32">
      <c r="B43" s="94" t="s">
        <v>589</v>
      </c>
      <c r="C43" s="94"/>
      <c r="D43" s="94"/>
      <c r="E43" s="113"/>
      <c r="F43" s="113"/>
      <c r="G43" s="113"/>
      <c r="H43" s="113"/>
      <c r="O43" s="98"/>
      <c r="Q43" s="80"/>
      <c r="R43" s="80"/>
      <c r="S43" s="80"/>
      <c r="T43" s="80"/>
      <c r="U43" s="80"/>
    </row>
    <row r="44" spans="1:32" ht="24.75" customHeight="1">
      <c r="B44" s="1154" t="s">
        <v>214</v>
      </c>
      <c r="C44" s="1155"/>
      <c r="D44" s="130" t="s">
        <v>376</v>
      </c>
      <c r="E44" s="101" t="s">
        <v>215</v>
      </c>
      <c r="F44" s="463" t="s">
        <v>936</v>
      </c>
      <c r="G44" s="130" t="s">
        <v>937</v>
      </c>
      <c r="H44" s="463" t="s">
        <v>938</v>
      </c>
      <c r="I44" s="463" t="s">
        <v>939</v>
      </c>
      <c r="J44" s="101" t="s">
        <v>68</v>
      </c>
      <c r="K44" s="130" t="s">
        <v>305</v>
      </c>
      <c r="L44" s="463" t="s">
        <v>871</v>
      </c>
      <c r="N44" s="1006" t="s">
        <v>940</v>
      </c>
      <c r="O44" s="1006" t="s">
        <v>941</v>
      </c>
      <c r="S44" s="80"/>
      <c r="T44" s="80"/>
      <c r="U44" s="80"/>
      <c r="AE44" s="80"/>
      <c r="AF44" s="346"/>
    </row>
    <row r="45" spans="1:32">
      <c r="B45" s="1156" t="s">
        <v>217</v>
      </c>
      <c r="C45" s="118" t="s">
        <v>218</v>
      </c>
      <c r="D45" s="525" t="e">
        <f>$D$23*6+J40*$D$15+J39*($D$15+IF($Q$20="间歇",0,2))+$D$23*($D$15+IF($Q$20="间歇",1,3))*2-IF($Q$19="间歇",2*(J39-D19/(1+O19))/2,0)-IF($Q$20="间歇",2*(J40-D20/(1+O20))/2,0)</f>
        <v>#N/A</v>
      </c>
      <c r="E45" s="525" t="e">
        <f>$D$23*6+K40*$D$15+K39*($D$15+IF($Q$20="间歇",0,2))+$D$23*($D$15+IF($Q$20="间歇",1,3))*2-IF(Q19="间歇",2*(K39-D19/(1+O19))/2,0)-IF($Q$20="间歇",2*(K40-D20/(1+O20))/2,0)</f>
        <v>#N/A</v>
      </c>
      <c r="F45" s="525" t="e">
        <f>$D$23*6+(L40-H25*(1+M20))*$D$15+(L39-N24*(1+M19))*($D$15+IF($Q$20="间歇",0,2))+$D$23*($D$15+IF($Q$20="间歇",1,3))*2-IF(P19="间歇",2*(L39-N24*(1+M19)-D19/(1+N19))/2,0)-IF($Q$20="间歇",2*(L40-H25*(1+M20)-D20/(1+N20))/2,0)</f>
        <v>#N/A</v>
      </c>
      <c r="G45" s="525" t="e">
        <f>$D$23*6+L40*$D$15+L39*($D$15+IF($Q$20="间歇",0,2))+$D$23*($D$15+IF($Q$20="间歇",1,3))*2-IF(Q19="间歇",2*(L39-D19/(1+M19))/2,0)-IF($Q$20="间歇",2*(L40-D20/(1+M20))/2,0)</f>
        <v>#N/A</v>
      </c>
      <c r="H45" s="525" t="e">
        <f>$D$23*6+(L40+H24)*$D$15+(L39+N25)*($D$15+IF($Q$20="间歇",0,2))+$D$23*($D$15+IF($Q$20="间歇",1,3))*2-IF(R19="间歇",2*(L39+N25-D19/(1+M19))/2,0)-IF($Q$20="间歇",2*(L40+H24-D20/(1+M20))/2,0)</f>
        <v>#N/A</v>
      </c>
      <c r="I45" s="1008" t="e">
        <f>((H45-G45)+(G45-F45))/2/3/G45</f>
        <v>#N/A</v>
      </c>
      <c r="J45" s="525" t="e">
        <f>$D$23*6+M40*$D$15+M39*($D$15+IF($Q$20="间歇",0,2))+$D$23*($D$15+IF($Q$20="间歇",1,3))*2-IF(Q19="间歇",2*(M39-D19/(1+O19))/2,0)-IF($Q$20="间歇",2*(M40-D20/(1+O20))/2,0)</f>
        <v>#N/A</v>
      </c>
      <c r="K45" s="525" t="e">
        <f>C11-F11*2-L11*2</f>
        <v>#N/A</v>
      </c>
      <c r="L45" s="914" t="e">
        <f>(F52-L52-D45)*2</f>
        <v>#N/A</v>
      </c>
      <c r="N45" s="1015"/>
      <c r="O45" s="1015"/>
      <c r="S45" s="80"/>
      <c r="T45" s="80"/>
      <c r="U45" s="80"/>
      <c r="AE45" s="80"/>
      <c r="AF45" s="346"/>
    </row>
    <row r="46" spans="1:32">
      <c r="B46" s="1157"/>
      <c r="C46" s="471" t="s">
        <v>500</v>
      </c>
      <c r="D46" s="532" t="e">
        <f>(L15*D45)/K45</f>
        <v>#N/A</v>
      </c>
      <c r="E46" s="527" t="e">
        <f>(L15*E45)/K45</f>
        <v>#N/A</v>
      </c>
      <c r="F46" s="532" t="e">
        <f>(L15*F45)/(K45+3*C11*N45+3*F11*O45)</f>
        <v>#N/A</v>
      </c>
      <c r="G46" s="532" t="e">
        <f>(L15*G45)/K45</f>
        <v>#N/A</v>
      </c>
      <c r="H46" s="532" t="e">
        <f>(L15*H45)/(K45-3*C11*N45-3*F11*O45)</f>
        <v>#N/A</v>
      </c>
      <c r="I46" s="1010" t="e">
        <f>((H46-G46)+(G46-F46))/2/3/G46</f>
        <v>#N/A</v>
      </c>
      <c r="J46" s="527" t="e">
        <f>(L15*J45)/(C11-F11*2-L11*2)</f>
        <v>#N/A</v>
      </c>
      <c r="K46" s="92"/>
      <c r="L46" s="354"/>
      <c r="S46" s="133"/>
      <c r="T46" s="133"/>
      <c r="U46" s="80"/>
      <c r="AE46" s="80"/>
      <c r="AF46" s="346"/>
    </row>
    <row r="47" spans="1:32">
      <c r="B47" s="405" t="s">
        <v>511</v>
      </c>
      <c r="C47" s="132"/>
      <c r="D47" s="132"/>
      <c r="E47" s="97"/>
      <c r="F47" s="97"/>
      <c r="G47" s="97"/>
      <c r="H47" s="97"/>
      <c r="O47" s="121"/>
      <c r="P47" s="98"/>
      <c r="Q47" s="80"/>
      <c r="R47" s="80"/>
      <c r="S47" s="80"/>
      <c r="T47" s="80"/>
      <c r="U47" s="80"/>
    </row>
    <row r="48" spans="1:32">
      <c r="U48" s="80"/>
    </row>
    <row r="49" spans="2:31">
      <c r="C49" s="113"/>
      <c r="D49" s="97"/>
      <c r="E49" s="97"/>
      <c r="F49" s="97"/>
      <c r="H49" s="121"/>
      <c r="T49" s="80"/>
      <c r="U49" s="80"/>
      <c r="AD49" s="346"/>
      <c r="AE49" s="80"/>
    </row>
    <row r="50" spans="2:31">
      <c r="B50" s="94" t="s">
        <v>571</v>
      </c>
      <c r="I50" s="94" t="s">
        <v>572</v>
      </c>
      <c r="T50" s="80"/>
      <c r="U50" s="80"/>
      <c r="AD50" s="346"/>
      <c r="AE50" s="80"/>
    </row>
    <row r="51" spans="2:31" ht="31.5">
      <c r="B51" s="1154" t="s">
        <v>216</v>
      </c>
      <c r="C51" s="1155"/>
      <c r="D51" s="130" t="s">
        <v>375</v>
      </c>
      <c r="E51" s="463" t="s">
        <v>512</v>
      </c>
      <c r="F51" s="131" t="s">
        <v>304</v>
      </c>
      <c r="G51" s="819" t="s">
        <v>851</v>
      </c>
      <c r="I51" s="1154" t="s">
        <v>216</v>
      </c>
      <c r="J51" s="1155"/>
      <c r="K51" s="463" t="s">
        <v>873</v>
      </c>
      <c r="L51" s="350" t="s">
        <v>526</v>
      </c>
      <c r="M51" s="463" t="s">
        <v>491</v>
      </c>
      <c r="T51" s="80"/>
      <c r="U51" s="80"/>
      <c r="AD51" s="346"/>
      <c r="AE51" s="80"/>
    </row>
    <row r="52" spans="2:31">
      <c r="B52" s="1156" t="s">
        <v>217</v>
      </c>
      <c r="C52" s="118" t="s">
        <v>219</v>
      </c>
      <c r="D52" s="525" t="e">
        <f>$C$35/2+(J40+D29)*$D$15+J39*($D$15+IF($Q$20="间歇",0,2))+$C$41*($D$15+IF($Q$20="间歇",1,3))*2-IF($Q$19="间歇",2*(J39-D19/(1+O19))/2,0)-IF($Q$20="间歇",2*(J40-D20/(1+O20))/2,0)</f>
        <v>#N/A</v>
      </c>
      <c r="E52" s="525" t="e">
        <f>IF(K52&gt;=L52,F52,F52+K52-L52)</f>
        <v>#N/A</v>
      </c>
      <c r="F52" s="539" t="e">
        <f>D11-G11*2-L11*2*G52</f>
        <v>#N/A</v>
      </c>
      <c r="G52" s="820"/>
      <c r="I52" s="1156" t="s">
        <v>217</v>
      </c>
      <c r="J52" s="118" t="s">
        <v>219</v>
      </c>
      <c r="K52" s="525" t="e">
        <f>D52-($C$34/2+D45)</f>
        <v>#N/A</v>
      </c>
      <c r="L52" s="525" t="e">
        <f>(K45-D45*L15)/L15</f>
        <v>#N/A</v>
      </c>
      <c r="M52" s="525" t="e">
        <f>$C$35/2+D45-$D$23*6</f>
        <v>#N/A</v>
      </c>
      <c r="O52" s="982"/>
      <c r="T52" s="80"/>
      <c r="U52" s="80"/>
      <c r="AD52" s="346"/>
      <c r="AE52" s="80"/>
    </row>
    <row r="53" spans="2:31">
      <c r="B53" s="1157"/>
      <c r="C53" s="471" t="s">
        <v>501</v>
      </c>
      <c r="D53" s="532" t="e">
        <f>(D52-C34/2)/(F52-C34/2)</f>
        <v>#N/A</v>
      </c>
      <c r="E53" s="532" t="e">
        <f>(E52-C34/2)/(F52-C34/2)</f>
        <v>#N/A</v>
      </c>
      <c r="F53" s="141"/>
      <c r="I53" s="1157"/>
      <c r="J53" s="471" t="s">
        <v>525</v>
      </c>
      <c r="K53" s="1152" t="e">
        <f>IF(K52&gt;L52,"JR Gap更大，方形热压有意义","JR Gap不足，方形热压无意义")</f>
        <v>#N/A</v>
      </c>
      <c r="L53" s="1153"/>
      <c r="M53" s="532" t="e">
        <f>(M52-C34/2)/(F52-C34/2)</f>
        <v>#N/A</v>
      </c>
      <c r="T53" s="80"/>
      <c r="U53" s="80"/>
      <c r="AD53" s="346"/>
      <c r="AE53" s="80"/>
    </row>
    <row r="54" spans="2:31">
      <c r="B54" s="405" t="s">
        <v>742</v>
      </c>
      <c r="I54" s="405" t="s">
        <v>863</v>
      </c>
      <c r="T54" s="80"/>
      <c r="U54" s="80"/>
      <c r="AD54" s="346"/>
      <c r="AE54" s="80"/>
    </row>
    <row r="55" spans="2:31" ht="11.25" customHeight="1">
      <c r="B55" s="752" t="s">
        <v>862</v>
      </c>
      <c r="I55" s="955" t="s">
        <v>874</v>
      </c>
      <c r="T55" s="80"/>
      <c r="U55" s="80"/>
      <c r="AD55" s="346"/>
      <c r="AE55" s="80"/>
    </row>
    <row r="56" spans="2:31" ht="12.75" customHeight="1" thickBot="1">
      <c r="B56" s="80"/>
      <c r="C56" s="80"/>
      <c r="D56" s="80"/>
      <c r="E56" s="80"/>
      <c r="I56" s="405" t="s">
        <v>875</v>
      </c>
      <c r="P56" s="89"/>
      <c r="Q56" s="89"/>
      <c r="T56" s="80"/>
      <c r="U56" s="80"/>
      <c r="AD56" s="346"/>
      <c r="AE56" s="80"/>
    </row>
    <row r="57" spans="2:31">
      <c r="H57" s="133"/>
      <c r="I57" s="335"/>
      <c r="J57" s="336"/>
      <c r="K57" s="337"/>
      <c r="L57" s="134"/>
      <c r="M57" s="338"/>
      <c r="N57" s="79" t="s">
        <v>365</v>
      </c>
      <c r="T57" s="80"/>
      <c r="U57" s="80"/>
      <c r="AD57" s="346"/>
      <c r="AE57" s="80"/>
    </row>
    <row r="58" spans="2:31">
      <c r="I58" s="339"/>
      <c r="J58" s="89"/>
      <c r="K58" s="332"/>
      <c r="L58" s="135"/>
      <c r="M58" s="340"/>
      <c r="N58" s="79" t="s">
        <v>366</v>
      </c>
    </row>
    <row r="59" spans="2:31">
      <c r="I59" s="341"/>
      <c r="J59" s="89"/>
      <c r="K59" s="333"/>
      <c r="L59" s="135"/>
      <c r="M59" s="340"/>
      <c r="N59" s="135"/>
    </row>
    <row r="60" spans="2:31">
      <c r="I60" s="341"/>
      <c r="J60" s="330"/>
      <c r="K60" s="334"/>
      <c r="L60" s="135"/>
      <c r="M60" s="340"/>
      <c r="N60" s="135"/>
    </row>
    <row r="61" spans="2:31">
      <c r="I61" s="339"/>
      <c r="J61" s="331"/>
      <c r="K61" s="333"/>
      <c r="L61" s="135"/>
      <c r="M61" s="340"/>
      <c r="N61" s="135"/>
    </row>
    <row r="62" spans="2:31" ht="16.5" thickBot="1">
      <c r="I62" s="342"/>
      <c r="J62" s="343"/>
      <c r="K62" s="344"/>
      <c r="L62" s="138"/>
      <c r="M62" s="345"/>
    </row>
    <row r="63" spans="2:31">
      <c r="I63" s="495" t="s">
        <v>527</v>
      </c>
    </row>
  </sheetData>
  <sheetProtection formatCells="0" formatColumns="0" formatRows="0" insertColumns="0" insertRows="0" insertHyperlinks="0" deleteColumns="0" deleteRows="0" sort="0" autoFilter="0" pivotTables="0"/>
  <mergeCells count="17">
    <mergeCell ref="P27:P28"/>
    <mergeCell ref="L30:Q30"/>
    <mergeCell ref="N29:O29"/>
    <mergeCell ref="S3:T3"/>
    <mergeCell ref="N27:O28"/>
    <mergeCell ref="B21:B22"/>
    <mergeCell ref="K53:L53"/>
    <mergeCell ref="I51:J51"/>
    <mergeCell ref="I52:I53"/>
    <mergeCell ref="L27:M28"/>
    <mergeCell ref="B52:B53"/>
    <mergeCell ref="B23:B27"/>
    <mergeCell ref="B28:B29"/>
    <mergeCell ref="B44:C44"/>
    <mergeCell ref="B45:B46"/>
    <mergeCell ref="B51:C51"/>
    <mergeCell ref="L29:M29"/>
  </mergeCells>
  <phoneticPr fontId="6" type="noConversion"/>
  <conditionalFormatting sqref="O19">
    <cfRule type="cellIs" dxfId="60" priority="15" operator="equal">
      <formula>"未确认"</formula>
    </cfRule>
    <cfRule type="cellIs" dxfId="59" priority="16" operator="equal">
      <formula>"已确认"</formula>
    </cfRule>
  </conditionalFormatting>
  <conditionalFormatting sqref="O20">
    <cfRule type="cellIs" dxfId="58" priority="13" operator="equal">
      <formula>"未确认"</formula>
    </cfRule>
    <cfRule type="cellIs" dxfId="57" priority="14" operator="equal">
      <formula>"已确认"</formula>
    </cfRule>
  </conditionalFormatting>
  <conditionalFormatting sqref="M7">
    <cfRule type="cellIs" dxfId="56" priority="7" operator="equal">
      <formula>"JR超宽！无法入壳"</formula>
    </cfRule>
    <cfRule type="cellIs" dxfId="55" priority="8" operator="equal">
      <formula>"JR超宽，宽度方向先顶壳"</formula>
    </cfRule>
    <cfRule type="cellIs" dxfId="54" priority="9" operator="equal">
      <formula>"JR超宽！寿命中宽度方向先顶壳"</formula>
    </cfRule>
    <cfRule type="cellIs" dxfId="53" priority="10" operator="equal">
      <formula>"常规热压ok"</formula>
    </cfRule>
    <cfRule type="cellIs" dxfId="52" priority="11" operator="equal">
      <formula>"方形热压ok"</formula>
    </cfRule>
  </conditionalFormatting>
  <conditionalFormatting sqref="K53:L53">
    <cfRule type="cellIs" dxfId="51" priority="5" operator="equal">
      <formula>"JR Gap不足，方形热压无意义"</formula>
    </cfRule>
    <cfRule type="cellIs" dxfId="50" priority="6" operator="equal">
      <formula>"JR Gap更大，方形热压有意义"</formula>
    </cfRule>
  </conditionalFormatting>
  <conditionalFormatting sqref="P19">
    <cfRule type="cellIs" dxfId="49" priority="3" operator="equal">
      <formula>"未确认"</formula>
    </cfRule>
    <cfRule type="cellIs" dxfId="48" priority="4" operator="equal">
      <formula>"已确认"</formula>
    </cfRule>
  </conditionalFormatting>
  <conditionalFormatting sqref="P20">
    <cfRule type="cellIs" dxfId="47" priority="1" operator="equal">
      <formula>"未确认"</formula>
    </cfRule>
    <cfRule type="cellIs" dxfId="46" priority="2" operator="equal">
      <formula>"已确认"</formula>
    </cfRule>
  </conditionalFormatting>
  <dataValidations count="15">
    <dataValidation type="list" allowBlank="1" showInputMessage="1" showErrorMessage="1" sqref="WVN982832 C65349 JB65328 SX65328 ACT65328 AMP65328 AWL65328 BGH65328 BQD65328 BZZ65328 CJV65328 CTR65328 DDN65328 DNJ65328 DXF65328 EHB65328 EQX65328 FAT65328 FKP65328 FUL65328 GEH65328 GOD65328 GXZ65328 HHV65328 HRR65328 IBN65328 ILJ65328 IVF65328 JFB65328 JOX65328 JYT65328 KIP65328 KSL65328 LCH65328 LMD65328 LVZ65328 MFV65328 MPR65328 MZN65328 NJJ65328 NTF65328 ODB65328 OMX65328 OWT65328 PGP65328 PQL65328 QAH65328 QKD65328 QTZ65328 RDV65328 RNR65328 RXN65328 SHJ65328 SRF65328 TBB65328 TKX65328 TUT65328 UEP65328 UOL65328 UYH65328 VID65328 VRZ65328 WBV65328 WLR65328 WVN65328 C130885 JB130864 SX130864 ACT130864 AMP130864 AWL130864 BGH130864 BQD130864 BZZ130864 CJV130864 CTR130864 DDN130864 DNJ130864 DXF130864 EHB130864 EQX130864 FAT130864 FKP130864 FUL130864 GEH130864 GOD130864 GXZ130864 HHV130864 HRR130864 IBN130864 ILJ130864 IVF130864 JFB130864 JOX130864 JYT130864 KIP130864 KSL130864 LCH130864 LMD130864 LVZ130864 MFV130864 MPR130864 MZN130864 NJJ130864 NTF130864 ODB130864 OMX130864 OWT130864 PGP130864 PQL130864 QAH130864 QKD130864 QTZ130864 RDV130864 RNR130864 RXN130864 SHJ130864 SRF130864 TBB130864 TKX130864 TUT130864 UEP130864 UOL130864 UYH130864 VID130864 VRZ130864 WBV130864 WLR130864 WVN130864 C196421 JB196400 SX196400 ACT196400 AMP196400 AWL196400 BGH196400 BQD196400 BZZ196400 CJV196400 CTR196400 DDN196400 DNJ196400 DXF196400 EHB196400 EQX196400 FAT196400 FKP196400 FUL196400 GEH196400 GOD196400 GXZ196400 HHV196400 HRR196400 IBN196400 ILJ196400 IVF196400 JFB196400 JOX196400 JYT196400 KIP196400 KSL196400 LCH196400 LMD196400 LVZ196400 MFV196400 MPR196400 MZN196400 NJJ196400 NTF196400 ODB196400 OMX196400 OWT196400 PGP196400 PQL196400 QAH196400 QKD196400 QTZ196400 RDV196400 RNR196400 RXN196400 SHJ196400 SRF196400 TBB196400 TKX196400 TUT196400 UEP196400 UOL196400 UYH196400 VID196400 VRZ196400 WBV196400 WLR196400 WVN196400 C261957 JB261936 SX261936 ACT261936 AMP261936 AWL261936 BGH261936 BQD261936 BZZ261936 CJV261936 CTR261936 DDN261936 DNJ261936 DXF261936 EHB261936 EQX261936 FAT261936 FKP261936 FUL261936 GEH261936 GOD261936 GXZ261936 HHV261936 HRR261936 IBN261936 ILJ261936 IVF261936 JFB261936 JOX261936 JYT261936 KIP261936 KSL261936 LCH261936 LMD261936 LVZ261936 MFV261936 MPR261936 MZN261936 NJJ261936 NTF261936 ODB261936 OMX261936 OWT261936 PGP261936 PQL261936 QAH261936 QKD261936 QTZ261936 RDV261936 RNR261936 RXN261936 SHJ261936 SRF261936 TBB261936 TKX261936 TUT261936 UEP261936 UOL261936 UYH261936 VID261936 VRZ261936 WBV261936 WLR261936 WVN261936 C327493 JB327472 SX327472 ACT327472 AMP327472 AWL327472 BGH327472 BQD327472 BZZ327472 CJV327472 CTR327472 DDN327472 DNJ327472 DXF327472 EHB327472 EQX327472 FAT327472 FKP327472 FUL327472 GEH327472 GOD327472 GXZ327472 HHV327472 HRR327472 IBN327472 ILJ327472 IVF327472 JFB327472 JOX327472 JYT327472 KIP327472 KSL327472 LCH327472 LMD327472 LVZ327472 MFV327472 MPR327472 MZN327472 NJJ327472 NTF327472 ODB327472 OMX327472 OWT327472 PGP327472 PQL327472 QAH327472 QKD327472 QTZ327472 RDV327472 RNR327472 RXN327472 SHJ327472 SRF327472 TBB327472 TKX327472 TUT327472 UEP327472 UOL327472 UYH327472 VID327472 VRZ327472 WBV327472 WLR327472 WVN327472 C393029 JB393008 SX393008 ACT393008 AMP393008 AWL393008 BGH393008 BQD393008 BZZ393008 CJV393008 CTR393008 DDN393008 DNJ393008 DXF393008 EHB393008 EQX393008 FAT393008 FKP393008 FUL393008 GEH393008 GOD393008 GXZ393008 HHV393008 HRR393008 IBN393008 ILJ393008 IVF393008 JFB393008 JOX393008 JYT393008 KIP393008 KSL393008 LCH393008 LMD393008 LVZ393008 MFV393008 MPR393008 MZN393008 NJJ393008 NTF393008 ODB393008 OMX393008 OWT393008 PGP393008 PQL393008 QAH393008 QKD393008 QTZ393008 RDV393008 RNR393008 RXN393008 SHJ393008 SRF393008 TBB393008 TKX393008 TUT393008 UEP393008 UOL393008 UYH393008 VID393008 VRZ393008 WBV393008 WLR393008 WVN393008 C458565 JB458544 SX458544 ACT458544 AMP458544 AWL458544 BGH458544 BQD458544 BZZ458544 CJV458544 CTR458544 DDN458544 DNJ458544 DXF458544 EHB458544 EQX458544 FAT458544 FKP458544 FUL458544 GEH458544 GOD458544 GXZ458544 HHV458544 HRR458544 IBN458544 ILJ458544 IVF458544 JFB458544 JOX458544 JYT458544 KIP458544 KSL458544 LCH458544 LMD458544 LVZ458544 MFV458544 MPR458544 MZN458544 NJJ458544 NTF458544 ODB458544 OMX458544 OWT458544 PGP458544 PQL458544 QAH458544 QKD458544 QTZ458544 RDV458544 RNR458544 RXN458544 SHJ458544 SRF458544 TBB458544 TKX458544 TUT458544 UEP458544 UOL458544 UYH458544 VID458544 VRZ458544 WBV458544 WLR458544 WVN458544 C524101 JB524080 SX524080 ACT524080 AMP524080 AWL524080 BGH524080 BQD524080 BZZ524080 CJV524080 CTR524080 DDN524080 DNJ524080 DXF524080 EHB524080 EQX524080 FAT524080 FKP524080 FUL524080 GEH524080 GOD524080 GXZ524080 HHV524080 HRR524080 IBN524080 ILJ524080 IVF524080 JFB524080 JOX524080 JYT524080 KIP524080 KSL524080 LCH524080 LMD524080 LVZ524080 MFV524080 MPR524080 MZN524080 NJJ524080 NTF524080 ODB524080 OMX524080 OWT524080 PGP524080 PQL524080 QAH524080 QKD524080 QTZ524080 RDV524080 RNR524080 RXN524080 SHJ524080 SRF524080 TBB524080 TKX524080 TUT524080 UEP524080 UOL524080 UYH524080 VID524080 VRZ524080 WBV524080 WLR524080 WVN524080 C589637 JB589616 SX589616 ACT589616 AMP589616 AWL589616 BGH589616 BQD589616 BZZ589616 CJV589616 CTR589616 DDN589616 DNJ589616 DXF589616 EHB589616 EQX589616 FAT589616 FKP589616 FUL589616 GEH589616 GOD589616 GXZ589616 HHV589616 HRR589616 IBN589616 ILJ589616 IVF589616 JFB589616 JOX589616 JYT589616 KIP589616 KSL589616 LCH589616 LMD589616 LVZ589616 MFV589616 MPR589616 MZN589616 NJJ589616 NTF589616 ODB589616 OMX589616 OWT589616 PGP589616 PQL589616 QAH589616 QKD589616 QTZ589616 RDV589616 RNR589616 RXN589616 SHJ589616 SRF589616 TBB589616 TKX589616 TUT589616 UEP589616 UOL589616 UYH589616 VID589616 VRZ589616 WBV589616 WLR589616 WVN589616 C655173 JB655152 SX655152 ACT655152 AMP655152 AWL655152 BGH655152 BQD655152 BZZ655152 CJV655152 CTR655152 DDN655152 DNJ655152 DXF655152 EHB655152 EQX655152 FAT655152 FKP655152 FUL655152 GEH655152 GOD655152 GXZ655152 HHV655152 HRR655152 IBN655152 ILJ655152 IVF655152 JFB655152 JOX655152 JYT655152 KIP655152 KSL655152 LCH655152 LMD655152 LVZ655152 MFV655152 MPR655152 MZN655152 NJJ655152 NTF655152 ODB655152 OMX655152 OWT655152 PGP655152 PQL655152 QAH655152 QKD655152 QTZ655152 RDV655152 RNR655152 RXN655152 SHJ655152 SRF655152 TBB655152 TKX655152 TUT655152 UEP655152 UOL655152 UYH655152 VID655152 VRZ655152 WBV655152 WLR655152 WVN655152 C720709 JB720688 SX720688 ACT720688 AMP720688 AWL720688 BGH720688 BQD720688 BZZ720688 CJV720688 CTR720688 DDN720688 DNJ720688 DXF720688 EHB720688 EQX720688 FAT720688 FKP720688 FUL720688 GEH720688 GOD720688 GXZ720688 HHV720688 HRR720688 IBN720688 ILJ720688 IVF720688 JFB720688 JOX720688 JYT720688 KIP720688 KSL720688 LCH720688 LMD720688 LVZ720688 MFV720688 MPR720688 MZN720688 NJJ720688 NTF720688 ODB720688 OMX720688 OWT720688 PGP720688 PQL720688 QAH720688 QKD720688 QTZ720688 RDV720688 RNR720688 RXN720688 SHJ720688 SRF720688 TBB720688 TKX720688 TUT720688 UEP720688 UOL720688 UYH720688 VID720688 VRZ720688 WBV720688 WLR720688 WVN720688 C786245 JB786224 SX786224 ACT786224 AMP786224 AWL786224 BGH786224 BQD786224 BZZ786224 CJV786224 CTR786224 DDN786224 DNJ786224 DXF786224 EHB786224 EQX786224 FAT786224 FKP786224 FUL786224 GEH786224 GOD786224 GXZ786224 HHV786224 HRR786224 IBN786224 ILJ786224 IVF786224 JFB786224 JOX786224 JYT786224 KIP786224 KSL786224 LCH786224 LMD786224 LVZ786224 MFV786224 MPR786224 MZN786224 NJJ786224 NTF786224 ODB786224 OMX786224 OWT786224 PGP786224 PQL786224 QAH786224 QKD786224 QTZ786224 RDV786224 RNR786224 RXN786224 SHJ786224 SRF786224 TBB786224 TKX786224 TUT786224 UEP786224 UOL786224 UYH786224 VID786224 VRZ786224 WBV786224 WLR786224 WVN786224 C851781 JB851760 SX851760 ACT851760 AMP851760 AWL851760 BGH851760 BQD851760 BZZ851760 CJV851760 CTR851760 DDN851760 DNJ851760 DXF851760 EHB851760 EQX851760 FAT851760 FKP851760 FUL851760 GEH851760 GOD851760 GXZ851760 HHV851760 HRR851760 IBN851760 ILJ851760 IVF851760 JFB851760 JOX851760 JYT851760 KIP851760 KSL851760 LCH851760 LMD851760 LVZ851760 MFV851760 MPR851760 MZN851760 NJJ851760 NTF851760 ODB851760 OMX851760 OWT851760 PGP851760 PQL851760 QAH851760 QKD851760 QTZ851760 RDV851760 RNR851760 RXN851760 SHJ851760 SRF851760 TBB851760 TKX851760 TUT851760 UEP851760 UOL851760 UYH851760 VID851760 VRZ851760 WBV851760 WLR851760 WVN851760 C917317 JB917296 SX917296 ACT917296 AMP917296 AWL917296 BGH917296 BQD917296 BZZ917296 CJV917296 CTR917296 DDN917296 DNJ917296 DXF917296 EHB917296 EQX917296 FAT917296 FKP917296 FUL917296 GEH917296 GOD917296 GXZ917296 HHV917296 HRR917296 IBN917296 ILJ917296 IVF917296 JFB917296 JOX917296 JYT917296 KIP917296 KSL917296 LCH917296 LMD917296 LVZ917296 MFV917296 MPR917296 MZN917296 NJJ917296 NTF917296 ODB917296 OMX917296 OWT917296 PGP917296 PQL917296 QAH917296 QKD917296 QTZ917296 RDV917296 RNR917296 RXN917296 SHJ917296 SRF917296 TBB917296 TKX917296 TUT917296 UEP917296 UOL917296 UYH917296 VID917296 VRZ917296 WBV917296 WLR917296 WVN917296 C982853 JB982832 SX982832 ACT982832 AMP982832 AWL982832 BGH982832 BQD982832 BZZ982832 CJV982832 CTR982832 DDN982832 DNJ982832 DXF982832 EHB982832 EQX982832 FAT982832 FKP982832 FUL982832 GEH982832 GOD982832 GXZ982832 HHV982832 HRR982832 IBN982832 ILJ982832 IVF982832 JFB982832 JOX982832 JYT982832 KIP982832 KSL982832 LCH982832 LMD982832 LVZ982832 MFV982832 MPR982832 MZN982832 NJJ982832 NTF982832 ODB982832 OMX982832 OWT982832 PGP982832 PQL982832 QAH982832 QKD982832 QTZ982832 RDV982832 RNR982832 RXN982832 SHJ982832 SRF982832 TBB982832 TKX982832 TUT982832 UEP982832 UOL982832 UYH982832 VID982832 VRZ982832 WBV982832 WLR982832 WVI20 WVA21:WVA22 WLM20 WLE21:WLE22 WBQ20 WBI21:WBI22 VRU20 VRM21:VRM22 VHY20 VHQ21:VHQ22 UYC20 UXU21:UXU22 UOG20 UNY21:UNY22 UEK20 UEC21:UEC22 TUO20 TUG21:TUG22 TKS20 TKK21:TKK22 TAW20 TAO21:TAO22 SRA20 SQS21:SQS22 SHE20 SGW21:SGW22 RXI20 RXA21:RXA22 RNM20 RNE21:RNE22 RDQ20 RDI21:RDI22 QTU20 QTM21:QTM22 QJY20 QJQ21:QJQ22 QAC20 PZU21:PZU22 PQG20 PPY21:PPY22 PGK20 PGC21:PGC22 OWO20 OWG21:OWG22 OMS20 OMK21:OMK22 OCW20 OCO21:OCO22 NTA20 NSS21:NSS22 NJE20 NIW21:NIW22 MZI20 MZA21:MZA22 MPM20 MPE21:MPE22 MFQ20 MFI21:MFI22 LVU20 LVM21:LVM22 LLY20 LLQ21:LLQ22 LCC20 LBU21:LBU22 KSG20 KRY21:KRY22 KIK20 KIC21:KIC22 JYO20 JYG21:JYG22 JOS20 JOK21:JOK22 JEW20 JEO21:JEO22 IVA20 IUS21:IUS22 ILE20 IKW21:IKW22 IBI20 IBA21:IBA22 HRM20 HRE21:HRE22 HHQ20 HHI21:HHI22 GXU20 GXM21:GXM22 GNY20 GNQ21:GNQ22 GEC20 GDU21:GDU22 FUG20 FTY21:FTY22 FKK20 FKC21:FKC22 FAO20 FAG21:FAG22 EQS20 EQK21:EQK22 EGW20 EGO21:EGO22 DXA20 DWS21:DWS22 DNE20 DMW21:DMW22 DDI20 DDA21:DDA22 CTM20 CTE21:CTE22 CJQ20 CJI21:CJI22 BZU20 BZM21:BZM22 BPY20 BPQ21:BPQ22 BGC20 BFU21:BFU22 AWG20 AVY21:AVY22 AMK20 AMC21:AMC22 ACO20 ACG21:ACG22 SS20 SK21:SK22 IW20 IO21:IO22">
      <formula1>"XTC-HED100,BD-LFP,P2,Aleees LFP,03 LiCo,P2+Alees,04 LiCo,05 LiCo,LC400,09 LiCo,YY LiNCM,BD LiNCM,NMC/LMO,XX LiCo"</formula1>
    </dataValidation>
    <dataValidation type="list" allowBlank="1" showInputMessage="1" showErrorMessage="1" sqref="WVN982831 IW19 SS19 ACO19 AMK19 AWG19 BGC19 BPY19 BZU19 CJQ19 CTM19 DDI19 DNE19 DXA19 EGW19 EQS19 FAO19 FKK19 FUG19 GEC19 GNY19 GXU19 HHQ19 HRM19 IBI19 ILE19 IVA19 JEW19 JOS19 JYO19 KIK19 KSG19 LCC19 LLY19 LVU19 MFQ19 MPM19 MZI19 NJE19 NTA19 OCW19 OMS19 OWO19 PGK19 PQG19 QAC19 QJY19 QTU19 RDQ19 RNM19 RXI19 SHE19 SRA19 TAW19 TKS19 TUO19 UEK19 UOG19 UYC19 VHY19 VRU19 WBQ19 WLM19 WVI19 C65348 JB65327 SX65327 ACT65327 AMP65327 AWL65327 BGH65327 BQD65327 BZZ65327 CJV65327 CTR65327 DDN65327 DNJ65327 DXF65327 EHB65327 EQX65327 FAT65327 FKP65327 FUL65327 GEH65327 GOD65327 GXZ65327 HHV65327 HRR65327 IBN65327 ILJ65327 IVF65327 JFB65327 JOX65327 JYT65327 KIP65327 KSL65327 LCH65327 LMD65327 LVZ65327 MFV65327 MPR65327 MZN65327 NJJ65327 NTF65327 ODB65327 OMX65327 OWT65327 PGP65327 PQL65327 QAH65327 QKD65327 QTZ65327 RDV65327 RNR65327 RXN65327 SHJ65327 SRF65327 TBB65327 TKX65327 TUT65327 UEP65327 UOL65327 UYH65327 VID65327 VRZ65327 WBV65327 WLR65327 WVN65327 C130884 JB130863 SX130863 ACT130863 AMP130863 AWL130863 BGH130863 BQD130863 BZZ130863 CJV130863 CTR130863 DDN130863 DNJ130863 DXF130863 EHB130863 EQX130863 FAT130863 FKP130863 FUL130863 GEH130863 GOD130863 GXZ130863 HHV130863 HRR130863 IBN130863 ILJ130863 IVF130863 JFB130863 JOX130863 JYT130863 KIP130863 KSL130863 LCH130863 LMD130863 LVZ130863 MFV130863 MPR130863 MZN130863 NJJ130863 NTF130863 ODB130863 OMX130863 OWT130863 PGP130863 PQL130863 QAH130863 QKD130863 QTZ130863 RDV130863 RNR130863 RXN130863 SHJ130863 SRF130863 TBB130863 TKX130863 TUT130863 UEP130863 UOL130863 UYH130863 VID130863 VRZ130863 WBV130863 WLR130863 WVN130863 C196420 JB196399 SX196399 ACT196399 AMP196399 AWL196399 BGH196399 BQD196399 BZZ196399 CJV196399 CTR196399 DDN196399 DNJ196399 DXF196399 EHB196399 EQX196399 FAT196399 FKP196399 FUL196399 GEH196399 GOD196399 GXZ196399 HHV196399 HRR196399 IBN196399 ILJ196399 IVF196399 JFB196399 JOX196399 JYT196399 KIP196399 KSL196399 LCH196399 LMD196399 LVZ196399 MFV196399 MPR196399 MZN196399 NJJ196399 NTF196399 ODB196399 OMX196399 OWT196399 PGP196399 PQL196399 QAH196399 QKD196399 QTZ196399 RDV196399 RNR196399 RXN196399 SHJ196399 SRF196399 TBB196399 TKX196399 TUT196399 UEP196399 UOL196399 UYH196399 VID196399 VRZ196399 WBV196399 WLR196399 WVN196399 C261956 JB261935 SX261935 ACT261935 AMP261935 AWL261935 BGH261935 BQD261935 BZZ261935 CJV261935 CTR261935 DDN261935 DNJ261935 DXF261935 EHB261935 EQX261935 FAT261935 FKP261935 FUL261935 GEH261935 GOD261935 GXZ261935 HHV261935 HRR261935 IBN261935 ILJ261935 IVF261935 JFB261935 JOX261935 JYT261935 KIP261935 KSL261935 LCH261935 LMD261935 LVZ261935 MFV261935 MPR261935 MZN261935 NJJ261935 NTF261935 ODB261935 OMX261935 OWT261935 PGP261935 PQL261935 QAH261935 QKD261935 QTZ261935 RDV261935 RNR261935 RXN261935 SHJ261935 SRF261935 TBB261935 TKX261935 TUT261935 UEP261935 UOL261935 UYH261935 VID261935 VRZ261935 WBV261935 WLR261935 WVN261935 C327492 JB327471 SX327471 ACT327471 AMP327471 AWL327471 BGH327471 BQD327471 BZZ327471 CJV327471 CTR327471 DDN327471 DNJ327471 DXF327471 EHB327471 EQX327471 FAT327471 FKP327471 FUL327471 GEH327471 GOD327471 GXZ327471 HHV327471 HRR327471 IBN327471 ILJ327471 IVF327471 JFB327471 JOX327471 JYT327471 KIP327471 KSL327471 LCH327471 LMD327471 LVZ327471 MFV327471 MPR327471 MZN327471 NJJ327471 NTF327471 ODB327471 OMX327471 OWT327471 PGP327471 PQL327471 QAH327471 QKD327471 QTZ327471 RDV327471 RNR327471 RXN327471 SHJ327471 SRF327471 TBB327471 TKX327471 TUT327471 UEP327471 UOL327471 UYH327471 VID327471 VRZ327471 WBV327471 WLR327471 WVN327471 C393028 JB393007 SX393007 ACT393007 AMP393007 AWL393007 BGH393007 BQD393007 BZZ393007 CJV393007 CTR393007 DDN393007 DNJ393007 DXF393007 EHB393007 EQX393007 FAT393007 FKP393007 FUL393007 GEH393007 GOD393007 GXZ393007 HHV393007 HRR393007 IBN393007 ILJ393007 IVF393007 JFB393007 JOX393007 JYT393007 KIP393007 KSL393007 LCH393007 LMD393007 LVZ393007 MFV393007 MPR393007 MZN393007 NJJ393007 NTF393007 ODB393007 OMX393007 OWT393007 PGP393007 PQL393007 QAH393007 QKD393007 QTZ393007 RDV393007 RNR393007 RXN393007 SHJ393007 SRF393007 TBB393007 TKX393007 TUT393007 UEP393007 UOL393007 UYH393007 VID393007 VRZ393007 WBV393007 WLR393007 WVN393007 C458564 JB458543 SX458543 ACT458543 AMP458543 AWL458543 BGH458543 BQD458543 BZZ458543 CJV458543 CTR458543 DDN458543 DNJ458543 DXF458543 EHB458543 EQX458543 FAT458543 FKP458543 FUL458543 GEH458543 GOD458543 GXZ458543 HHV458543 HRR458543 IBN458543 ILJ458543 IVF458543 JFB458543 JOX458543 JYT458543 KIP458543 KSL458543 LCH458543 LMD458543 LVZ458543 MFV458543 MPR458543 MZN458543 NJJ458543 NTF458543 ODB458543 OMX458543 OWT458543 PGP458543 PQL458543 QAH458543 QKD458543 QTZ458543 RDV458543 RNR458543 RXN458543 SHJ458543 SRF458543 TBB458543 TKX458543 TUT458543 UEP458543 UOL458543 UYH458543 VID458543 VRZ458543 WBV458543 WLR458543 WVN458543 C524100 JB524079 SX524079 ACT524079 AMP524079 AWL524079 BGH524079 BQD524079 BZZ524079 CJV524079 CTR524079 DDN524079 DNJ524079 DXF524079 EHB524079 EQX524079 FAT524079 FKP524079 FUL524079 GEH524079 GOD524079 GXZ524079 HHV524079 HRR524079 IBN524079 ILJ524079 IVF524079 JFB524079 JOX524079 JYT524079 KIP524079 KSL524079 LCH524079 LMD524079 LVZ524079 MFV524079 MPR524079 MZN524079 NJJ524079 NTF524079 ODB524079 OMX524079 OWT524079 PGP524079 PQL524079 QAH524079 QKD524079 QTZ524079 RDV524079 RNR524079 RXN524079 SHJ524079 SRF524079 TBB524079 TKX524079 TUT524079 UEP524079 UOL524079 UYH524079 VID524079 VRZ524079 WBV524079 WLR524079 WVN524079 C589636 JB589615 SX589615 ACT589615 AMP589615 AWL589615 BGH589615 BQD589615 BZZ589615 CJV589615 CTR589615 DDN589615 DNJ589615 DXF589615 EHB589615 EQX589615 FAT589615 FKP589615 FUL589615 GEH589615 GOD589615 GXZ589615 HHV589615 HRR589615 IBN589615 ILJ589615 IVF589615 JFB589615 JOX589615 JYT589615 KIP589615 KSL589615 LCH589615 LMD589615 LVZ589615 MFV589615 MPR589615 MZN589615 NJJ589615 NTF589615 ODB589615 OMX589615 OWT589615 PGP589615 PQL589615 QAH589615 QKD589615 QTZ589615 RDV589615 RNR589615 RXN589615 SHJ589615 SRF589615 TBB589615 TKX589615 TUT589615 UEP589615 UOL589615 UYH589615 VID589615 VRZ589615 WBV589615 WLR589615 WVN589615 C655172 JB655151 SX655151 ACT655151 AMP655151 AWL655151 BGH655151 BQD655151 BZZ655151 CJV655151 CTR655151 DDN655151 DNJ655151 DXF655151 EHB655151 EQX655151 FAT655151 FKP655151 FUL655151 GEH655151 GOD655151 GXZ655151 HHV655151 HRR655151 IBN655151 ILJ655151 IVF655151 JFB655151 JOX655151 JYT655151 KIP655151 KSL655151 LCH655151 LMD655151 LVZ655151 MFV655151 MPR655151 MZN655151 NJJ655151 NTF655151 ODB655151 OMX655151 OWT655151 PGP655151 PQL655151 QAH655151 QKD655151 QTZ655151 RDV655151 RNR655151 RXN655151 SHJ655151 SRF655151 TBB655151 TKX655151 TUT655151 UEP655151 UOL655151 UYH655151 VID655151 VRZ655151 WBV655151 WLR655151 WVN655151 C720708 JB720687 SX720687 ACT720687 AMP720687 AWL720687 BGH720687 BQD720687 BZZ720687 CJV720687 CTR720687 DDN720687 DNJ720687 DXF720687 EHB720687 EQX720687 FAT720687 FKP720687 FUL720687 GEH720687 GOD720687 GXZ720687 HHV720687 HRR720687 IBN720687 ILJ720687 IVF720687 JFB720687 JOX720687 JYT720687 KIP720687 KSL720687 LCH720687 LMD720687 LVZ720687 MFV720687 MPR720687 MZN720687 NJJ720687 NTF720687 ODB720687 OMX720687 OWT720687 PGP720687 PQL720687 QAH720687 QKD720687 QTZ720687 RDV720687 RNR720687 RXN720687 SHJ720687 SRF720687 TBB720687 TKX720687 TUT720687 UEP720687 UOL720687 UYH720687 VID720687 VRZ720687 WBV720687 WLR720687 WVN720687 C786244 JB786223 SX786223 ACT786223 AMP786223 AWL786223 BGH786223 BQD786223 BZZ786223 CJV786223 CTR786223 DDN786223 DNJ786223 DXF786223 EHB786223 EQX786223 FAT786223 FKP786223 FUL786223 GEH786223 GOD786223 GXZ786223 HHV786223 HRR786223 IBN786223 ILJ786223 IVF786223 JFB786223 JOX786223 JYT786223 KIP786223 KSL786223 LCH786223 LMD786223 LVZ786223 MFV786223 MPR786223 MZN786223 NJJ786223 NTF786223 ODB786223 OMX786223 OWT786223 PGP786223 PQL786223 QAH786223 QKD786223 QTZ786223 RDV786223 RNR786223 RXN786223 SHJ786223 SRF786223 TBB786223 TKX786223 TUT786223 UEP786223 UOL786223 UYH786223 VID786223 VRZ786223 WBV786223 WLR786223 WVN786223 C851780 JB851759 SX851759 ACT851759 AMP851759 AWL851759 BGH851759 BQD851759 BZZ851759 CJV851759 CTR851759 DDN851759 DNJ851759 DXF851759 EHB851759 EQX851759 FAT851759 FKP851759 FUL851759 GEH851759 GOD851759 GXZ851759 HHV851759 HRR851759 IBN851759 ILJ851759 IVF851759 JFB851759 JOX851759 JYT851759 KIP851759 KSL851759 LCH851759 LMD851759 LVZ851759 MFV851759 MPR851759 MZN851759 NJJ851759 NTF851759 ODB851759 OMX851759 OWT851759 PGP851759 PQL851759 QAH851759 QKD851759 QTZ851759 RDV851759 RNR851759 RXN851759 SHJ851759 SRF851759 TBB851759 TKX851759 TUT851759 UEP851759 UOL851759 UYH851759 VID851759 VRZ851759 WBV851759 WLR851759 WVN851759 C917316 JB917295 SX917295 ACT917295 AMP917295 AWL917295 BGH917295 BQD917295 BZZ917295 CJV917295 CTR917295 DDN917295 DNJ917295 DXF917295 EHB917295 EQX917295 FAT917295 FKP917295 FUL917295 GEH917295 GOD917295 GXZ917295 HHV917295 HRR917295 IBN917295 ILJ917295 IVF917295 JFB917295 JOX917295 JYT917295 KIP917295 KSL917295 LCH917295 LMD917295 LVZ917295 MFV917295 MPR917295 MZN917295 NJJ917295 NTF917295 ODB917295 OMX917295 OWT917295 PGP917295 PQL917295 QAH917295 QKD917295 QTZ917295 RDV917295 RNR917295 RXN917295 SHJ917295 SRF917295 TBB917295 TKX917295 TUT917295 UEP917295 UOL917295 UYH917295 VID917295 VRZ917295 WBV917295 WLR917295 WVN917295 C982852 JB982831 SX982831 ACT982831 AMP982831 AWL982831 BGH982831 BQD982831 BZZ982831 CJV982831 CTR982831 DDN982831 DNJ982831 DXF982831 EHB982831 EQX982831 FAT982831 FKP982831 FUL982831 GEH982831 GOD982831 GXZ982831 HHV982831 HRR982831 IBN982831 ILJ982831 IVF982831 JFB982831 JOX982831 JYT982831 KIP982831 KSL982831 LCH982831 LMD982831 LVZ982831 MFV982831 MPR982831 MZN982831 NJJ982831 NTF982831 ODB982831 OMX982831 OWT982831 PGP982831 PQL982831 QAH982831 QKD982831 QTZ982831 RDV982831 RNR982831 RXN982831 SHJ982831 SRF982831 TBB982831 TKX982831 TUT982831 UEP982831 UOL982831 UYH982831 VID982831 VRZ982831 WBV982831 WLR982831">
      <formula1>"AFC,XT,BTR,SC,G10,AGP-2,SAG23,XXX1,XXX2,FSNC-1,BTR 818,OMAC15,BTR 818+FSNC"</formula1>
    </dataValidation>
    <dataValidation type="list" allowBlank="1" showInputMessage="1" showErrorMessage="1" sqref="C65352 JB65331 SX65331 ACT65331 AMP65331 AWL65331 BGH65331 BQD65331 BZZ65331 CJV65331 CTR65331 DDN65331 DNJ65331 DXF65331 EHB65331 EQX65331 FAT65331 FKP65331 FUL65331 GEH65331 GOD65331 GXZ65331 HHV65331 HRR65331 IBN65331 ILJ65331 IVF65331 JFB65331 JOX65331 JYT65331 KIP65331 KSL65331 LCH65331 LMD65331 LVZ65331 MFV65331 MPR65331 MZN65331 NJJ65331 NTF65331 ODB65331 OMX65331 OWT65331 PGP65331 PQL65331 QAH65331 QKD65331 QTZ65331 RDV65331 RNR65331 RXN65331 SHJ65331 SRF65331 TBB65331 TKX65331 TUT65331 UEP65331 UOL65331 UYH65331 VID65331 VRZ65331 WBV65331 WLR65331 WVN65331 C130888 JB130867 SX130867 ACT130867 AMP130867 AWL130867 BGH130867 BQD130867 BZZ130867 CJV130867 CTR130867 DDN130867 DNJ130867 DXF130867 EHB130867 EQX130867 FAT130867 FKP130867 FUL130867 GEH130867 GOD130867 GXZ130867 HHV130867 HRR130867 IBN130867 ILJ130867 IVF130867 JFB130867 JOX130867 JYT130867 KIP130867 KSL130867 LCH130867 LMD130867 LVZ130867 MFV130867 MPR130867 MZN130867 NJJ130867 NTF130867 ODB130867 OMX130867 OWT130867 PGP130867 PQL130867 QAH130867 QKD130867 QTZ130867 RDV130867 RNR130867 RXN130867 SHJ130867 SRF130867 TBB130867 TKX130867 TUT130867 UEP130867 UOL130867 UYH130867 VID130867 VRZ130867 WBV130867 WLR130867 WVN130867 C196424 JB196403 SX196403 ACT196403 AMP196403 AWL196403 BGH196403 BQD196403 BZZ196403 CJV196403 CTR196403 DDN196403 DNJ196403 DXF196403 EHB196403 EQX196403 FAT196403 FKP196403 FUL196403 GEH196403 GOD196403 GXZ196403 HHV196403 HRR196403 IBN196403 ILJ196403 IVF196403 JFB196403 JOX196403 JYT196403 KIP196403 KSL196403 LCH196403 LMD196403 LVZ196403 MFV196403 MPR196403 MZN196403 NJJ196403 NTF196403 ODB196403 OMX196403 OWT196403 PGP196403 PQL196403 QAH196403 QKD196403 QTZ196403 RDV196403 RNR196403 RXN196403 SHJ196403 SRF196403 TBB196403 TKX196403 TUT196403 UEP196403 UOL196403 UYH196403 VID196403 VRZ196403 WBV196403 WLR196403 WVN196403 C261960 JB261939 SX261939 ACT261939 AMP261939 AWL261939 BGH261939 BQD261939 BZZ261939 CJV261939 CTR261939 DDN261939 DNJ261939 DXF261939 EHB261939 EQX261939 FAT261939 FKP261939 FUL261939 GEH261939 GOD261939 GXZ261939 HHV261939 HRR261939 IBN261939 ILJ261939 IVF261939 JFB261939 JOX261939 JYT261939 KIP261939 KSL261939 LCH261939 LMD261939 LVZ261939 MFV261939 MPR261939 MZN261939 NJJ261939 NTF261939 ODB261939 OMX261939 OWT261939 PGP261939 PQL261939 QAH261939 QKD261939 QTZ261939 RDV261939 RNR261939 RXN261939 SHJ261939 SRF261939 TBB261939 TKX261939 TUT261939 UEP261939 UOL261939 UYH261939 VID261939 VRZ261939 WBV261939 WLR261939 WVN261939 C327496 JB327475 SX327475 ACT327475 AMP327475 AWL327475 BGH327475 BQD327475 BZZ327475 CJV327475 CTR327475 DDN327475 DNJ327475 DXF327475 EHB327475 EQX327475 FAT327475 FKP327475 FUL327475 GEH327475 GOD327475 GXZ327475 HHV327475 HRR327475 IBN327475 ILJ327475 IVF327475 JFB327475 JOX327475 JYT327475 KIP327475 KSL327475 LCH327475 LMD327475 LVZ327475 MFV327475 MPR327475 MZN327475 NJJ327475 NTF327475 ODB327475 OMX327475 OWT327475 PGP327475 PQL327475 QAH327475 QKD327475 QTZ327475 RDV327475 RNR327475 RXN327475 SHJ327475 SRF327475 TBB327475 TKX327475 TUT327475 UEP327475 UOL327475 UYH327475 VID327475 VRZ327475 WBV327475 WLR327475 WVN327475 C393032 JB393011 SX393011 ACT393011 AMP393011 AWL393011 BGH393011 BQD393011 BZZ393011 CJV393011 CTR393011 DDN393011 DNJ393011 DXF393011 EHB393011 EQX393011 FAT393011 FKP393011 FUL393011 GEH393011 GOD393011 GXZ393011 HHV393011 HRR393011 IBN393011 ILJ393011 IVF393011 JFB393011 JOX393011 JYT393011 KIP393011 KSL393011 LCH393011 LMD393011 LVZ393011 MFV393011 MPR393011 MZN393011 NJJ393011 NTF393011 ODB393011 OMX393011 OWT393011 PGP393011 PQL393011 QAH393011 QKD393011 QTZ393011 RDV393011 RNR393011 RXN393011 SHJ393011 SRF393011 TBB393011 TKX393011 TUT393011 UEP393011 UOL393011 UYH393011 VID393011 VRZ393011 WBV393011 WLR393011 WVN393011 C458568 JB458547 SX458547 ACT458547 AMP458547 AWL458547 BGH458547 BQD458547 BZZ458547 CJV458547 CTR458547 DDN458547 DNJ458547 DXF458547 EHB458547 EQX458547 FAT458547 FKP458547 FUL458547 GEH458547 GOD458547 GXZ458547 HHV458547 HRR458547 IBN458547 ILJ458547 IVF458547 JFB458547 JOX458547 JYT458547 KIP458547 KSL458547 LCH458547 LMD458547 LVZ458547 MFV458547 MPR458547 MZN458547 NJJ458547 NTF458547 ODB458547 OMX458547 OWT458547 PGP458547 PQL458547 QAH458547 QKD458547 QTZ458547 RDV458547 RNR458547 RXN458547 SHJ458547 SRF458547 TBB458547 TKX458547 TUT458547 UEP458547 UOL458547 UYH458547 VID458547 VRZ458547 WBV458547 WLR458547 WVN458547 C524104 JB524083 SX524083 ACT524083 AMP524083 AWL524083 BGH524083 BQD524083 BZZ524083 CJV524083 CTR524083 DDN524083 DNJ524083 DXF524083 EHB524083 EQX524083 FAT524083 FKP524083 FUL524083 GEH524083 GOD524083 GXZ524083 HHV524083 HRR524083 IBN524083 ILJ524083 IVF524083 JFB524083 JOX524083 JYT524083 KIP524083 KSL524083 LCH524083 LMD524083 LVZ524083 MFV524083 MPR524083 MZN524083 NJJ524083 NTF524083 ODB524083 OMX524083 OWT524083 PGP524083 PQL524083 QAH524083 QKD524083 QTZ524083 RDV524083 RNR524083 RXN524083 SHJ524083 SRF524083 TBB524083 TKX524083 TUT524083 UEP524083 UOL524083 UYH524083 VID524083 VRZ524083 WBV524083 WLR524083 WVN524083 C589640 JB589619 SX589619 ACT589619 AMP589619 AWL589619 BGH589619 BQD589619 BZZ589619 CJV589619 CTR589619 DDN589619 DNJ589619 DXF589619 EHB589619 EQX589619 FAT589619 FKP589619 FUL589619 GEH589619 GOD589619 GXZ589619 HHV589619 HRR589619 IBN589619 ILJ589619 IVF589619 JFB589619 JOX589619 JYT589619 KIP589619 KSL589619 LCH589619 LMD589619 LVZ589619 MFV589619 MPR589619 MZN589619 NJJ589619 NTF589619 ODB589619 OMX589619 OWT589619 PGP589619 PQL589619 QAH589619 QKD589619 QTZ589619 RDV589619 RNR589619 RXN589619 SHJ589619 SRF589619 TBB589619 TKX589619 TUT589619 UEP589619 UOL589619 UYH589619 VID589619 VRZ589619 WBV589619 WLR589619 WVN589619 C655176 JB655155 SX655155 ACT655155 AMP655155 AWL655155 BGH655155 BQD655155 BZZ655155 CJV655155 CTR655155 DDN655155 DNJ655155 DXF655155 EHB655155 EQX655155 FAT655155 FKP655155 FUL655155 GEH655155 GOD655155 GXZ655155 HHV655155 HRR655155 IBN655155 ILJ655155 IVF655155 JFB655155 JOX655155 JYT655155 KIP655155 KSL655155 LCH655155 LMD655155 LVZ655155 MFV655155 MPR655155 MZN655155 NJJ655155 NTF655155 ODB655155 OMX655155 OWT655155 PGP655155 PQL655155 QAH655155 QKD655155 QTZ655155 RDV655155 RNR655155 RXN655155 SHJ655155 SRF655155 TBB655155 TKX655155 TUT655155 UEP655155 UOL655155 UYH655155 VID655155 VRZ655155 WBV655155 WLR655155 WVN655155 C720712 JB720691 SX720691 ACT720691 AMP720691 AWL720691 BGH720691 BQD720691 BZZ720691 CJV720691 CTR720691 DDN720691 DNJ720691 DXF720691 EHB720691 EQX720691 FAT720691 FKP720691 FUL720691 GEH720691 GOD720691 GXZ720691 HHV720691 HRR720691 IBN720691 ILJ720691 IVF720691 JFB720691 JOX720691 JYT720691 KIP720691 KSL720691 LCH720691 LMD720691 LVZ720691 MFV720691 MPR720691 MZN720691 NJJ720691 NTF720691 ODB720691 OMX720691 OWT720691 PGP720691 PQL720691 QAH720691 QKD720691 QTZ720691 RDV720691 RNR720691 RXN720691 SHJ720691 SRF720691 TBB720691 TKX720691 TUT720691 UEP720691 UOL720691 UYH720691 VID720691 VRZ720691 WBV720691 WLR720691 WVN720691 C786248 JB786227 SX786227 ACT786227 AMP786227 AWL786227 BGH786227 BQD786227 BZZ786227 CJV786227 CTR786227 DDN786227 DNJ786227 DXF786227 EHB786227 EQX786227 FAT786227 FKP786227 FUL786227 GEH786227 GOD786227 GXZ786227 HHV786227 HRR786227 IBN786227 ILJ786227 IVF786227 JFB786227 JOX786227 JYT786227 KIP786227 KSL786227 LCH786227 LMD786227 LVZ786227 MFV786227 MPR786227 MZN786227 NJJ786227 NTF786227 ODB786227 OMX786227 OWT786227 PGP786227 PQL786227 QAH786227 QKD786227 QTZ786227 RDV786227 RNR786227 RXN786227 SHJ786227 SRF786227 TBB786227 TKX786227 TUT786227 UEP786227 UOL786227 UYH786227 VID786227 VRZ786227 WBV786227 WLR786227 WVN786227 C851784 JB851763 SX851763 ACT851763 AMP851763 AWL851763 BGH851763 BQD851763 BZZ851763 CJV851763 CTR851763 DDN851763 DNJ851763 DXF851763 EHB851763 EQX851763 FAT851763 FKP851763 FUL851763 GEH851763 GOD851763 GXZ851763 HHV851763 HRR851763 IBN851763 ILJ851763 IVF851763 JFB851763 JOX851763 JYT851763 KIP851763 KSL851763 LCH851763 LMD851763 LVZ851763 MFV851763 MPR851763 MZN851763 NJJ851763 NTF851763 ODB851763 OMX851763 OWT851763 PGP851763 PQL851763 QAH851763 QKD851763 QTZ851763 RDV851763 RNR851763 RXN851763 SHJ851763 SRF851763 TBB851763 TKX851763 TUT851763 UEP851763 UOL851763 UYH851763 VID851763 VRZ851763 WBV851763 WLR851763 WVN851763 C917320 JB917299 SX917299 ACT917299 AMP917299 AWL917299 BGH917299 BQD917299 BZZ917299 CJV917299 CTR917299 DDN917299 DNJ917299 DXF917299 EHB917299 EQX917299 FAT917299 FKP917299 FUL917299 GEH917299 GOD917299 GXZ917299 HHV917299 HRR917299 IBN917299 ILJ917299 IVF917299 JFB917299 JOX917299 JYT917299 KIP917299 KSL917299 LCH917299 LMD917299 LVZ917299 MFV917299 MPR917299 MZN917299 NJJ917299 NTF917299 ODB917299 OMX917299 OWT917299 PGP917299 PQL917299 QAH917299 QKD917299 QTZ917299 RDV917299 RNR917299 RXN917299 SHJ917299 SRF917299 TBB917299 TKX917299 TUT917299 UEP917299 UOL917299 UYH917299 VID917299 VRZ917299 WBV917299 WLR917299 WVN917299 C982856 JB982835 SX982835 ACT982835 AMP982835 AWL982835 BGH982835 BQD982835 BZZ982835 CJV982835 CTR982835 DDN982835 DNJ982835 DXF982835 EHB982835 EQX982835 FAT982835 FKP982835 FUL982835 GEH982835 GOD982835 GXZ982835 HHV982835 HRR982835 IBN982835 ILJ982835 IVF982835 JFB982835 JOX982835 JYT982835 KIP982835 KSL982835 LCH982835 LMD982835 LVZ982835 MFV982835 MPR982835 MZN982835 NJJ982835 NTF982835 ODB982835 OMX982835 OWT982835 PGP982835 PQL982835 QAH982835 QKD982835 QTZ982835 RDV982835 RNR982835 RXN982835 SHJ982835 SRF982835 TBB982835 TKX982835 TUT982835 UEP982835 UOL982835 UYH982835 VID982835 VRZ982835 WBV982835 WLR982835 WVN982835">
      <formula1>"Standard,Current"</formula1>
    </dataValidation>
    <dataValidation type="list" allowBlank="1" showInputMessage="1" showErrorMessage="1" sqref="D65352 JC65331 SY65331 ACU65331 AMQ65331 AWM65331 BGI65331 BQE65331 CAA65331 CJW65331 CTS65331 DDO65331 DNK65331 DXG65331 EHC65331 EQY65331 FAU65331 FKQ65331 FUM65331 GEI65331 GOE65331 GYA65331 HHW65331 HRS65331 IBO65331 ILK65331 IVG65331 JFC65331 JOY65331 JYU65331 KIQ65331 KSM65331 LCI65331 LME65331 LWA65331 MFW65331 MPS65331 MZO65331 NJK65331 NTG65331 ODC65331 OMY65331 OWU65331 PGQ65331 PQM65331 QAI65331 QKE65331 QUA65331 RDW65331 RNS65331 RXO65331 SHK65331 SRG65331 TBC65331 TKY65331 TUU65331 UEQ65331 UOM65331 UYI65331 VIE65331 VSA65331 WBW65331 WLS65331 WVO65331 D130888 JC130867 SY130867 ACU130867 AMQ130867 AWM130867 BGI130867 BQE130867 CAA130867 CJW130867 CTS130867 DDO130867 DNK130867 DXG130867 EHC130867 EQY130867 FAU130867 FKQ130867 FUM130867 GEI130867 GOE130867 GYA130867 HHW130867 HRS130867 IBO130867 ILK130867 IVG130867 JFC130867 JOY130867 JYU130867 KIQ130867 KSM130867 LCI130867 LME130867 LWA130867 MFW130867 MPS130867 MZO130867 NJK130867 NTG130867 ODC130867 OMY130867 OWU130867 PGQ130867 PQM130867 QAI130867 QKE130867 QUA130867 RDW130867 RNS130867 RXO130867 SHK130867 SRG130867 TBC130867 TKY130867 TUU130867 UEQ130867 UOM130867 UYI130867 VIE130867 VSA130867 WBW130867 WLS130867 WVO130867 D196424 JC196403 SY196403 ACU196403 AMQ196403 AWM196403 BGI196403 BQE196403 CAA196403 CJW196403 CTS196403 DDO196403 DNK196403 DXG196403 EHC196403 EQY196403 FAU196403 FKQ196403 FUM196403 GEI196403 GOE196403 GYA196403 HHW196403 HRS196403 IBO196403 ILK196403 IVG196403 JFC196403 JOY196403 JYU196403 KIQ196403 KSM196403 LCI196403 LME196403 LWA196403 MFW196403 MPS196403 MZO196403 NJK196403 NTG196403 ODC196403 OMY196403 OWU196403 PGQ196403 PQM196403 QAI196403 QKE196403 QUA196403 RDW196403 RNS196403 RXO196403 SHK196403 SRG196403 TBC196403 TKY196403 TUU196403 UEQ196403 UOM196403 UYI196403 VIE196403 VSA196403 WBW196403 WLS196403 WVO196403 D261960 JC261939 SY261939 ACU261939 AMQ261939 AWM261939 BGI261939 BQE261939 CAA261939 CJW261939 CTS261939 DDO261939 DNK261939 DXG261939 EHC261939 EQY261939 FAU261939 FKQ261939 FUM261939 GEI261939 GOE261939 GYA261939 HHW261939 HRS261939 IBO261939 ILK261939 IVG261939 JFC261939 JOY261939 JYU261939 KIQ261939 KSM261939 LCI261939 LME261939 LWA261939 MFW261939 MPS261939 MZO261939 NJK261939 NTG261939 ODC261939 OMY261939 OWU261939 PGQ261939 PQM261939 QAI261939 QKE261939 QUA261939 RDW261939 RNS261939 RXO261939 SHK261939 SRG261939 TBC261939 TKY261939 TUU261939 UEQ261939 UOM261939 UYI261939 VIE261939 VSA261939 WBW261939 WLS261939 WVO261939 D327496 JC327475 SY327475 ACU327475 AMQ327475 AWM327475 BGI327475 BQE327475 CAA327475 CJW327475 CTS327475 DDO327475 DNK327475 DXG327475 EHC327475 EQY327475 FAU327475 FKQ327475 FUM327475 GEI327475 GOE327475 GYA327475 HHW327475 HRS327475 IBO327475 ILK327475 IVG327475 JFC327475 JOY327475 JYU327475 KIQ327475 KSM327475 LCI327475 LME327475 LWA327475 MFW327475 MPS327475 MZO327475 NJK327475 NTG327475 ODC327475 OMY327475 OWU327475 PGQ327475 PQM327475 QAI327475 QKE327475 QUA327475 RDW327475 RNS327475 RXO327475 SHK327475 SRG327475 TBC327475 TKY327475 TUU327475 UEQ327475 UOM327475 UYI327475 VIE327475 VSA327475 WBW327475 WLS327475 WVO327475 D393032 JC393011 SY393011 ACU393011 AMQ393011 AWM393011 BGI393011 BQE393011 CAA393011 CJW393011 CTS393011 DDO393011 DNK393011 DXG393011 EHC393011 EQY393011 FAU393011 FKQ393011 FUM393011 GEI393011 GOE393011 GYA393011 HHW393011 HRS393011 IBO393011 ILK393011 IVG393011 JFC393011 JOY393011 JYU393011 KIQ393011 KSM393011 LCI393011 LME393011 LWA393011 MFW393011 MPS393011 MZO393011 NJK393011 NTG393011 ODC393011 OMY393011 OWU393011 PGQ393011 PQM393011 QAI393011 QKE393011 QUA393011 RDW393011 RNS393011 RXO393011 SHK393011 SRG393011 TBC393011 TKY393011 TUU393011 UEQ393011 UOM393011 UYI393011 VIE393011 VSA393011 WBW393011 WLS393011 WVO393011 D458568 JC458547 SY458547 ACU458547 AMQ458547 AWM458547 BGI458547 BQE458547 CAA458547 CJW458547 CTS458547 DDO458547 DNK458547 DXG458547 EHC458547 EQY458547 FAU458547 FKQ458547 FUM458547 GEI458547 GOE458547 GYA458547 HHW458547 HRS458547 IBO458547 ILK458547 IVG458547 JFC458547 JOY458547 JYU458547 KIQ458547 KSM458547 LCI458547 LME458547 LWA458547 MFW458547 MPS458547 MZO458547 NJK458547 NTG458547 ODC458547 OMY458547 OWU458547 PGQ458547 PQM458547 QAI458547 QKE458547 QUA458547 RDW458547 RNS458547 RXO458547 SHK458547 SRG458547 TBC458547 TKY458547 TUU458547 UEQ458547 UOM458547 UYI458547 VIE458547 VSA458547 WBW458547 WLS458547 WVO458547 D524104 JC524083 SY524083 ACU524083 AMQ524083 AWM524083 BGI524083 BQE524083 CAA524083 CJW524083 CTS524083 DDO524083 DNK524083 DXG524083 EHC524083 EQY524083 FAU524083 FKQ524083 FUM524083 GEI524083 GOE524083 GYA524083 HHW524083 HRS524083 IBO524083 ILK524083 IVG524083 JFC524083 JOY524083 JYU524083 KIQ524083 KSM524083 LCI524083 LME524083 LWA524083 MFW524083 MPS524083 MZO524083 NJK524083 NTG524083 ODC524083 OMY524083 OWU524083 PGQ524083 PQM524083 QAI524083 QKE524083 QUA524083 RDW524083 RNS524083 RXO524083 SHK524083 SRG524083 TBC524083 TKY524083 TUU524083 UEQ524083 UOM524083 UYI524083 VIE524083 VSA524083 WBW524083 WLS524083 WVO524083 D589640 JC589619 SY589619 ACU589619 AMQ589619 AWM589619 BGI589619 BQE589619 CAA589619 CJW589619 CTS589619 DDO589619 DNK589619 DXG589619 EHC589619 EQY589619 FAU589619 FKQ589619 FUM589619 GEI589619 GOE589619 GYA589619 HHW589619 HRS589619 IBO589619 ILK589619 IVG589619 JFC589619 JOY589619 JYU589619 KIQ589619 KSM589619 LCI589619 LME589619 LWA589619 MFW589619 MPS589619 MZO589619 NJK589619 NTG589619 ODC589619 OMY589619 OWU589619 PGQ589619 PQM589619 QAI589619 QKE589619 QUA589619 RDW589619 RNS589619 RXO589619 SHK589619 SRG589619 TBC589619 TKY589619 TUU589619 UEQ589619 UOM589619 UYI589619 VIE589619 VSA589619 WBW589619 WLS589619 WVO589619 D655176 JC655155 SY655155 ACU655155 AMQ655155 AWM655155 BGI655155 BQE655155 CAA655155 CJW655155 CTS655155 DDO655155 DNK655155 DXG655155 EHC655155 EQY655155 FAU655155 FKQ655155 FUM655155 GEI655155 GOE655155 GYA655155 HHW655155 HRS655155 IBO655155 ILK655155 IVG655155 JFC655155 JOY655155 JYU655155 KIQ655155 KSM655155 LCI655155 LME655155 LWA655155 MFW655155 MPS655155 MZO655155 NJK655155 NTG655155 ODC655155 OMY655155 OWU655155 PGQ655155 PQM655155 QAI655155 QKE655155 QUA655155 RDW655155 RNS655155 RXO655155 SHK655155 SRG655155 TBC655155 TKY655155 TUU655155 UEQ655155 UOM655155 UYI655155 VIE655155 VSA655155 WBW655155 WLS655155 WVO655155 D720712 JC720691 SY720691 ACU720691 AMQ720691 AWM720691 BGI720691 BQE720691 CAA720691 CJW720691 CTS720691 DDO720691 DNK720691 DXG720691 EHC720691 EQY720691 FAU720691 FKQ720691 FUM720691 GEI720691 GOE720691 GYA720691 HHW720691 HRS720691 IBO720691 ILK720691 IVG720691 JFC720691 JOY720691 JYU720691 KIQ720691 KSM720691 LCI720691 LME720691 LWA720691 MFW720691 MPS720691 MZO720691 NJK720691 NTG720691 ODC720691 OMY720691 OWU720691 PGQ720691 PQM720691 QAI720691 QKE720691 QUA720691 RDW720691 RNS720691 RXO720691 SHK720691 SRG720691 TBC720691 TKY720691 TUU720691 UEQ720691 UOM720691 UYI720691 VIE720691 VSA720691 WBW720691 WLS720691 WVO720691 D786248 JC786227 SY786227 ACU786227 AMQ786227 AWM786227 BGI786227 BQE786227 CAA786227 CJW786227 CTS786227 DDO786227 DNK786227 DXG786227 EHC786227 EQY786227 FAU786227 FKQ786227 FUM786227 GEI786227 GOE786227 GYA786227 HHW786227 HRS786227 IBO786227 ILK786227 IVG786227 JFC786227 JOY786227 JYU786227 KIQ786227 KSM786227 LCI786227 LME786227 LWA786227 MFW786227 MPS786227 MZO786227 NJK786227 NTG786227 ODC786227 OMY786227 OWU786227 PGQ786227 PQM786227 QAI786227 QKE786227 QUA786227 RDW786227 RNS786227 RXO786227 SHK786227 SRG786227 TBC786227 TKY786227 TUU786227 UEQ786227 UOM786227 UYI786227 VIE786227 VSA786227 WBW786227 WLS786227 WVO786227 D851784 JC851763 SY851763 ACU851763 AMQ851763 AWM851763 BGI851763 BQE851763 CAA851763 CJW851763 CTS851763 DDO851763 DNK851763 DXG851763 EHC851763 EQY851763 FAU851763 FKQ851763 FUM851763 GEI851763 GOE851763 GYA851763 HHW851763 HRS851763 IBO851763 ILK851763 IVG851763 JFC851763 JOY851763 JYU851763 KIQ851763 KSM851763 LCI851763 LME851763 LWA851763 MFW851763 MPS851763 MZO851763 NJK851763 NTG851763 ODC851763 OMY851763 OWU851763 PGQ851763 PQM851763 QAI851763 QKE851763 QUA851763 RDW851763 RNS851763 RXO851763 SHK851763 SRG851763 TBC851763 TKY851763 TUU851763 UEQ851763 UOM851763 UYI851763 VIE851763 VSA851763 WBW851763 WLS851763 WVO851763 D917320 JC917299 SY917299 ACU917299 AMQ917299 AWM917299 BGI917299 BQE917299 CAA917299 CJW917299 CTS917299 DDO917299 DNK917299 DXG917299 EHC917299 EQY917299 FAU917299 FKQ917299 FUM917299 GEI917299 GOE917299 GYA917299 HHW917299 HRS917299 IBO917299 ILK917299 IVG917299 JFC917299 JOY917299 JYU917299 KIQ917299 KSM917299 LCI917299 LME917299 LWA917299 MFW917299 MPS917299 MZO917299 NJK917299 NTG917299 ODC917299 OMY917299 OWU917299 PGQ917299 PQM917299 QAI917299 QKE917299 QUA917299 RDW917299 RNS917299 RXO917299 SHK917299 SRG917299 TBC917299 TKY917299 TUU917299 UEQ917299 UOM917299 UYI917299 VIE917299 VSA917299 WBW917299 WLS917299 WVO917299 D982856 JC982835 SY982835 ACU982835 AMQ982835 AWM982835 BGI982835 BQE982835 CAA982835 CJW982835 CTS982835 DDO982835 DNK982835 DXG982835 EHC982835 EQY982835 FAU982835 FKQ982835 FUM982835 GEI982835 GOE982835 GYA982835 HHW982835 HRS982835 IBO982835 ILK982835 IVG982835 JFC982835 JOY982835 JYU982835 KIQ982835 KSM982835 LCI982835 LME982835 LWA982835 MFW982835 MPS982835 MZO982835 NJK982835 NTG982835 ODC982835 OMY982835 OWU982835 PGQ982835 PQM982835 QAI982835 QKE982835 QUA982835 RDW982835 RNS982835 RXO982835 SHK982835 SRG982835 TBC982835 TKY982835 TUU982835 UEQ982835 UOM982835 UYI982835 VIE982835 VSA982835 WBW982835 WLS982835 WVO982835">
      <formula1>"Showa-1.486-0.150,Thin Showa-1.563-0.115,Sony-1.000-0.086"</formula1>
    </dataValidation>
    <dataValidation type="list" allowBlank="1" showInputMessage="1" showErrorMessage="1" sqref="G65352 JF65331 TB65331 ACX65331 AMT65331 AWP65331 BGL65331 BQH65331 CAD65331 CJZ65331 CTV65331 DDR65331 DNN65331 DXJ65331 EHF65331 ERB65331 FAX65331 FKT65331 FUP65331 GEL65331 GOH65331 GYD65331 HHZ65331 HRV65331 IBR65331 ILN65331 IVJ65331 JFF65331 JPB65331 JYX65331 KIT65331 KSP65331 LCL65331 LMH65331 LWD65331 MFZ65331 MPV65331 MZR65331 NJN65331 NTJ65331 ODF65331 ONB65331 OWX65331 PGT65331 PQP65331 QAL65331 QKH65331 QUD65331 RDZ65331 RNV65331 RXR65331 SHN65331 SRJ65331 TBF65331 TLB65331 TUX65331 UET65331 UOP65331 UYL65331 VIH65331 VSD65331 WBZ65331 WLV65331 WVR65331 G130888 JF130867 TB130867 ACX130867 AMT130867 AWP130867 BGL130867 BQH130867 CAD130867 CJZ130867 CTV130867 DDR130867 DNN130867 DXJ130867 EHF130867 ERB130867 FAX130867 FKT130867 FUP130867 GEL130867 GOH130867 GYD130867 HHZ130867 HRV130867 IBR130867 ILN130867 IVJ130867 JFF130867 JPB130867 JYX130867 KIT130867 KSP130867 LCL130867 LMH130867 LWD130867 MFZ130867 MPV130867 MZR130867 NJN130867 NTJ130867 ODF130867 ONB130867 OWX130867 PGT130867 PQP130867 QAL130867 QKH130867 QUD130867 RDZ130867 RNV130867 RXR130867 SHN130867 SRJ130867 TBF130867 TLB130867 TUX130867 UET130867 UOP130867 UYL130867 VIH130867 VSD130867 WBZ130867 WLV130867 WVR130867 G196424 JF196403 TB196403 ACX196403 AMT196403 AWP196403 BGL196403 BQH196403 CAD196403 CJZ196403 CTV196403 DDR196403 DNN196403 DXJ196403 EHF196403 ERB196403 FAX196403 FKT196403 FUP196403 GEL196403 GOH196403 GYD196403 HHZ196403 HRV196403 IBR196403 ILN196403 IVJ196403 JFF196403 JPB196403 JYX196403 KIT196403 KSP196403 LCL196403 LMH196403 LWD196403 MFZ196403 MPV196403 MZR196403 NJN196403 NTJ196403 ODF196403 ONB196403 OWX196403 PGT196403 PQP196403 QAL196403 QKH196403 QUD196403 RDZ196403 RNV196403 RXR196403 SHN196403 SRJ196403 TBF196403 TLB196403 TUX196403 UET196403 UOP196403 UYL196403 VIH196403 VSD196403 WBZ196403 WLV196403 WVR196403 G261960 JF261939 TB261939 ACX261939 AMT261939 AWP261939 BGL261939 BQH261939 CAD261939 CJZ261939 CTV261939 DDR261939 DNN261939 DXJ261939 EHF261939 ERB261939 FAX261939 FKT261939 FUP261939 GEL261939 GOH261939 GYD261939 HHZ261939 HRV261939 IBR261939 ILN261939 IVJ261939 JFF261939 JPB261939 JYX261939 KIT261939 KSP261939 LCL261939 LMH261939 LWD261939 MFZ261939 MPV261939 MZR261939 NJN261939 NTJ261939 ODF261939 ONB261939 OWX261939 PGT261939 PQP261939 QAL261939 QKH261939 QUD261939 RDZ261939 RNV261939 RXR261939 SHN261939 SRJ261939 TBF261939 TLB261939 TUX261939 UET261939 UOP261939 UYL261939 VIH261939 VSD261939 WBZ261939 WLV261939 WVR261939 G327496 JF327475 TB327475 ACX327475 AMT327475 AWP327475 BGL327475 BQH327475 CAD327475 CJZ327475 CTV327475 DDR327475 DNN327475 DXJ327475 EHF327475 ERB327475 FAX327475 FKT327475 FUP327475 GEL327475 GOH327475 GYD327475 HHZ327475 HRV327475 IBR327475 ILN327475 IVJ327475 JFF327475 JPB327475 JYX327475 KIT327475 KSP327475 LCL327475 LMH327475 LWD327475 MFZ327475 MPV327475 MZR327475 NJN327475 NTJ327475 ODF327475 ONB327475 OWX327475 PGT327475 PQP327475 QAL327475 QKH327475 QUD327475 RDZ327475 RNV327475 RXR327475 SHN327475 SRJ327475 TBF327475 TLB327475 TUX327475 UET327475 UOP327475 UYL327475 VIH327475 VSD327475 WBZ327475 WLV327475 WVR327475 G393032 JF393011 TB393011 ACX393011 AMT393011 AWP393011 BGL393011 BQH393011 CAD393011 CJZ393011 CTV393011 DDR393011 DNN393011 DXJ393011 EHF393011 ERB393011 FAX393011 FKT393011 FUP393011 GEL393011 GOH393011 GYD393011 HHZ393011 HRV393011 IBR393011 ILN393011 IVJ393011 JFF393011 JPB393011 JYX393011 KIT393011 KSP393011 LCL393011 LMH393011 LWD393011 MFZ393011 MPV393011 MZR393011 NJN393011 NTJ393011 ODF393011 ONB393011 OWX393011 PGT393011 PQP393011 QAL393011 QKH393011 QUD393011 RDZ393011 RNV393011 RXR393011 SHN393011 SRJ393011 TBF393011 TLB393011 TUX393011 UET393011 UOP393011 UYL393011 VIH393011 VSD393011 WBZ393011 WLV393011 WVR393011 G458568 JF458547 TB458547 ACX458547 AMT458547 AWP458547 BGL458547 BQH458547 CAD458547 CJZ458547 CTV458547 DDR458547 DNN458547 DXJ458547 EHF458547 ERB458547 FAX458547 FKT458547 FUP458547 GEL458547 GOH458547 GYD458547 HHZ458547 HRV458547 IBR458547 ILN458547 IVJ458547 JFF458547 JPB458547 JYX458547 KIT458547 KSP458547 LCL458547 LMH458547 LWD458547 MFZ458547 MPV458547 MZR458547 NJN458547 NTJ458547 ODF458547 ONB458547 OWX458547 PGT458547 PQP458547 QAL458547 QKH458547 QUD458547 RDZ458547 RNV458547 RXR458547 SHN458547 SRJ458547 TBF458547 TLB458547 TUX458547 UET458547 UOP458547 UYL458547 VIH458547 VSD458547 WBZ458547 WLV458547 WVR458547 G524104 JF524083 TB524083 ACX524083 AMT524083 AWP524083 BGL524083 BQH524083 CAD524083 CJZ524083 CTV524083 DDR524083 DNN524083 DXJ524083 EHF524083 ERB524083 FAX524083 FKT524083 FUP524083 GEL524083 GOH524083 GYD524083 HHZ524083 HRV524083 IBR524083 ILN524083 IVJ524083 JFF524083 JPB524083 JYX524083 KIT524083 KSP524083 LCL524083 LMH524083 LWD524083 MFZ524083 MPV524083 MZR524083 NJN524083 NTJ524083 ODF524083 ONB524083 OWX524083 PGT524083 PQP524083 QAL524083 QKH524083 QUD524083 RDZ524083 RNV524083 RXR524083 SHN524083 SRJ524083 TBF524083 TLB524083 TUX524083 UET524083 UOP524083 UYL524083 VIH524083 VSD524083 WBZ524083 WLV524083 WVR524083 G589640 JF589619 TB589619 ACX589619 AMT589619 AWP589619 BGL589619 BQH589619 CAD589619 CJZ589619 CTV589619 DDR589619 DNN589619 DXJ589619 EHF589619 ERB589619 FAX589619 FKT589619 FUP589619 GEL589619 GOH589619 GYD589619 HHZ589619 HRV589619 IBR589619 ILN589619 IVJ589619 JFF589619 JPB589619 JYX589619 KIT589619 KSP589619 LCL589619 LMH589619 LWD589619 MFZ589619 MPV589619 MZR589619 NJN589619 NTJ589619 ODF589619 ONB589619 OWX589619 PGT589619 PQP589619 QAL589619 QKH589619 QUD589619 RDZ589619 RNV589619 RXR589619 SHN589619 SRJ589619 TBF589619 TLB589619 TUX589619 UET589619 UOP589619 UYL589619 VIH589619 VSD589619 WBZ589619 WLV589619 WVR589619 G655176 JF655155 TB655155 ACX655155 AMT655155 AWP655155 BGL655155 BQH655155 CAD655155 CJZ655155 CTV655155 DDR655155 DNN655155 DXJ655155 EHF655155 ERB655155 FAX655155 FKT655155 FUP655155 GEL655155 GOH655155 GYD655155 HHZ655155 HRV655155 IBR655155 ILN655155 IVJ655155 JFF655155 JPB655155 JYX655155 KIT655155 KSP655155 LCL655155 LMH655155 LWD655155 MFZ655155 MPV655155 MZR655155 NJN655155 NTJ655155 ODF655155 ONB655155 OWX655155 PGT655155 PQP655155 QAL655155 QKH655155 QUD655155 RDZ655155 RNV655155 RXR655155 SHN655155 SRJ655155 TBF655155 TLB655155 TUX655155 UET655155 UOP655155 UYL655155 VIH655155 VSD655155 WBZ655155 WLV655155 WVR655155 G720712 JF720691 TB720691 ACX720691 AMT720691 AWP720691 BGL720691 BQH720691 CAD720691 CJZ720691 CTV720691 DDR720691 DNN720691 DXJ720691 EHF720691 ERB720691 FAX720691 FKT720691 FUP720691 GEL720691 GOH720691 GYD720691 HHZ720691 HRV720691 IBR720691 ILN720691 IVJ720691 JFF720691 JPB720691 JYX720691 KIT720691 KSP720691 LCL720691 LMH720691 LWD720691 MFZ720691 MPV720691 MZR720691 NJN720691 NTJ720691 ODF720691 ONB720691 OWX720691 PGT720691 PQP720691 QAL720691 QKH720691 QUD720691 RDZ720691 RNV720691 RXR720691 SHN720691 SRJ720691 TBF720691 TLB720691 TUX720691 UET720691 UOP720691 UYL720691 VIH720691 VSD720691 WBZ720691 WLV720691 WVR720691 G786248 JF786227 TB786227 ACX786227 AMT786227 AWP786227 BGL786227 BQH786227 CAD786227 CJZ786227 CTV786227 DDR786227 DNN786227 DXJ786227 EHF786227 ERB786227 FAX786227 FKT786227 FUP786227 GEL786227 GOH786227 GYD786227 HHZ786227 HRV786227 IBR786227 ILN786227 IVJ786227 JFF786227 JPB786227 JYX786227 KIT786227 KSP786227 LCL786227 LMH786227 LWD786227 MFZ786227 MPV786227 MZR786227 NJN786227 NTJ786227 ODF786227 ONB786227 OWX786227 PGT786227 PQP786227 QAL786227 QKH786227 QUD786227 RDZ786227 RNV786227 RXR786227 SHN786227 SRJ786227 TBF786227 TLB786227 TUX786227 UET786227 UOP786227 UYL786227 VIH786227 VSD786227 WBZ786227 WLV786227 WVR786227 G851784 JF851763 TB851763 ACX851763 AMT851763 AWP851763 BGL851763 BQH851763 CAD851763 CJZ851763 CTV851763 DDR851763 DNN851763 DXJ851763 EHF851763 ERB851763 FAX851763 FKT851763 FUP851763 GEL851763 GOH851763 GYD851763 HHZ851763 HRV851763 IBR851763 ILN851763 IVJ851763 JFF851763 JPB851763 JYX851763 KIT851763 KSP851763 LCL851763 LMH851763 LWD851763 MFZ851763 MPV851763 MZR851763 NJN851763 NTJ851763 ODF851763 ONB851763 OWX851763 PGT851763 PQP851763 QAL851763 QKH851763 QUD851763 RDZ851763 RNV851763 RXR851763 SHN851763 SRJ851763 TBF851763 TLB851763 TUX851763 UET851763 UOP851763 UYL851763 VIH851763 VSD851763 WBZ851763 WLV851763 WVR851763 G917320 JF917299 TB917299 ACX917299 AMT917299 AWP917299 BGL917299 BQH917299 CAD917299 CJZ917299 CTV917299 DDR917299 DNN917299 DXJ917299 EHF917299 ERB917299 FAX917299 FKT917299 FUP917299 GEL917299 GOH917299 GYD917299 HHZ917299 HRV917299 IBR917299 ILN917299 IVJ917299 JFF917299 JPB917299 JYX917299 KIT917299 KSP917299 LCL917299 LMH917299 LWD917299 MFZ917299 MPV917299 MZR917299 NJN917299 NTJ917299 ODF917299 ONB917299 OWX917299 PGT917299 PQP917299 QAL917299 QKH917299 QUD917299 RDZ917299 RNV917299 RXR917299 SHN917299 SRJ917299 TBF917299 TLB917299 TUX917299 UET917299 UOP917299 UYL917299 VIH917299 VSD917299 WBZ917299 WLV917299 WVR917299 G982856 JF982835 TB982835 ACX982835 AMT982835 AWP982835 BGL982835 BQH982835 CAD982835 CJZ982835 CTV982835 DDR982835 DNN982835 DXJ982835 EHF982835 ERB982835 FAX982835 FKT982835 FUP982835 GEL982835 GOH982835 GYD982835 HHZ982835 HRV982835 IBR982835 ILN982835 IVJ982835 JFF982835 JPB982835 JYX982835 KIT982835 KSP982835 LCL982835 LMH982835 LWD982835 MFZ982835 MPV982835 MZR982835 NJN982835 NTJ982835 ODF982835 ONB982835 OWX982835 PGT982835 PQP982835 QAL982835 QKH982835 QUD982835 RDZ982835 RNV982835 RXR982835 SHN982835 SRJ982835 TBF982835 TLB982835 TUX982835 UET982835 UOP982835 UYL982835 VIH982835 VSD982835 WBZ982835 WLV982835 WVR982835">
      <formula1>"Al-0.058-14um,Al-0.062-16um,Al-0.068-17um"</formula1>
    </dataValidation>
    <dataValidation type="list" allowBlank="1" showInputMessage="1" showErrorMessage="1" sqref="F65352 JE65331 TA65331 ACW65331 AMS65331 AWO65331 BGK65331 BQG65331 CAC65331 CJY65331 CTU65331 DDQ65331 DNM65331 DXI65331 EHE65331 ERA65331 FAW65331 FKS65331 FUO65331 GEK65331 GOG65331 GYC65331 HHY65331 HRU65331 IBQ65331 ILM65331 IVI65331 JFE65331 JPA65331 JYW65331 KIS65331 KSO65331 LCK65331 LMG65331 LWC65331 MFY65331 MPU65331 MZQ65331 NJM65331 NTI65331 ODE65331 ONA65331 OWW65331 PGS65331 PQO65331 QAK65331 QKG65331 QUC65331 RDY65331 RNU65331 RXQ65331 SHM65331 SRI65331 TBE65331 TLA65331 TUW65331 UES65331 UOO65331 UYK65331 VIG65331 VSC65331 WBY65331 WLU65331 WVQ65331 F130888 JE130867 TA130867 ACW130867 AMS130867 AWO130867 BGK130867 BQG130867 CAC130867 CJY130867 CTU130867 DDQ130867 DNM130867 DXI130867 EHE130867 ERA130867 FAW130867 FKS130867 FUO130867 GEK130867 GOG130867 GYC130867 HHY130867 HRU130867 IBQ130867 ILM130867 IVI130867 JFE130867 JPA130867 JYW130867 KIS130867 KSO130867 LCK130867 LMG130867 LWC130867 MFY130867 MPU130867 MZQ130867 NJM130867 NTI130867 ODE130867 ONA130867 OWW130867 PGS130867 PQO130867 QAK130867 QKG130867 QUC130867 RDY130867 RNU130867 RXQ130867 SHM130867 SRI130867 TBE130867 TLA130867 TUW130867 UES130867 UOO130867 UYK130867 VIG130867 VSC130867 WBY130867 WLU130867 WVQ130867 F196424 JE196403 TA196403 ACW196403 AMS196403 AWO196403 BGK196403 BQG196403 CAC196403 CJY196403 CTU196403 DDQ196403 DNM196403 DXI196403 EHE196403 ERA196403 FAW196403 FKS196403 FUO196403 GEK196403 GOG196403 GYC196403 HHY196403 HRU196403 IBQ196403 ILM196403 IVI196403 JFE196403 JPA196403 JYW196403 KIS196403 KSO196403 LCK196403 LMG196403 LWC196403 MFY196403 MPU196403 MZQ196403 NJM196403 NTI196403 ODE196403 ONA196403 OWW196403 PGS196403 PQO196403 QAK196403 QKG196403 QUC196403 RDY196403 RNU196403 RXQ196403 SHM196403 SRI196403 TBE196403 TLA196403 TUW196403 UES196403 UOO196403 UYK196403 VIG196403 VSC196403 WBY196403 WLU196403 WVQ196403 F261960 JE261939 TA261939 ACW261939 AMS261939 AWO261939 BGK261939 BQG261939 CAC261939 CJY261939 CTU261939 DDQ261939 DNM261939 DXI261939 EHE261939 ERA261939 FAW261939 FKS261939 FUO261939 GEK261939 GOG261939 GYC261939 HHY261939 HRU261939 IBQ261939 ILM261939 IVI261939 JFE261939 JPA261939 JYW261939 KIS261939 KSO261939 LCK261939 LMG261939 LWC261939 MFY261939 MPU261939 MZQ261939 NJM261939 NTI261939 ODE261939 ONA261939 OWW261939 PGS261939 PQO261939 QAK261939 QKG261939 QUC261939 RDY261939 RNU261939 RXQ261939 SHM261939 SRI261939 TBE261939 TLA261939 TUW261939 UES261939 UOO261939 UYK261939 VIG261939 VSC261939 WBY261939 WLU261939 WVQ261939 F327496 JE327475 TA327475 ACW327475 AMS327475 AWO327475 BGK327475 BQG327475 CAC327475 CJY327475 CTU327475 DDQ327475 DNM327475 DXI327475 EHE327475 ERA327475 FAW327475 FKS327475 FUO327475 GEK327475 GOG327475 GYC327475 HHY327475 HRU327475 IBQ327475 ILM327475 IVI327475 JFE327475 JPA327475 JYW327475 KIS327475 KSO327475 LCK327475 LMG327475 LWC327475 MFY327475 MPU327475 MZQ327475 NJM327475 NTI327475 ODE327475 ONA327475 OWW327475 PGS327475 PQO327475 QAK327475 QKG327475 QUC327475 RDY327475 RNU327475 RXQ327475 SHM327475 SRI327475 TBE327475 TLA327475 TUW327475 UES327475 UOO327475 UYK327475 VIG327475 VSC327475 WBY327475 WLU327475 WVQ327475 F393032 JE393011 TA393011 ACW393011 AMS393011 AWO393011 BGK393011 BQG393011 CAC393011 CJY393011 CTU393011 DDQ393011 DNM393011 DXI393011 EHE393011 ERA393011 FAW393011 FKS393011 FUO393011 GEK393011 GOG393011 GYC393011 HHY393011 HRU393011 IBQ393011 ILM393011 IVI393011 JFE393011 JPA393011 JYW393011 KIS393011 KSO393011 LCK393011 LMG393011 LWC393011 MFY393011 MPU393011 MZQ393011 NJM393011 NTI393011 ODE393011 ONA393011 OWW393011 PGS393011 PQO393011 QAK393011 QKG393011 QUC393011 RDY393011 RNU393011 RXQ393011 SHM393011 SRI393011 TBE393011 TLA393011 TUW393011 UES393011 UOO393011 UYK393011 VIG393011 VSC393011 WBY393011 WLU393011 WVQ393011 F458568 JE458547 TA458547 ACW458547 AMS458547 AWO458547 BGK458547 BQG458547 CAC458547 CJY458547 CTU458547 DDQ458547 DNM458547 DXI458547 EHE458547 ERA458547 FAW458547 FKS458547 FUO458547 GEK458547 GOG458547 GYC458547 HHY458547 HRU458547 IBQ458547 ILM458547 IVI458547 JFE458547 JPA458547 JYW458547 KIS458547 KSO458547 LCK458547 LMG458547 LWC458547 MFY458547 MPU458547 MZQ458547 NJM458547 NTI458547 ODE458547 ONA458547 OWW458547 PGS458547 PQO458547 QAK458547 QKG458547 QUC458547 RDY458547 RNU458547 RXQ458547 SHM458547 SRI458547 TBE458547 TLA458547 TUW458547 UES458547 UOO458547 UYK458547 VIG458547 VSC458547 WBY458547 WLU458547 WVQ458547 F524104 JE524083 TA524083 ACW524083 AMS524083 AWO524083 BGK524083 BQG524083 CAC524083 CJY524083 CTU524083 DDQ524083 DNM524083 DXI524083 EHE524083 ERA524083 FAW524083 FKS524083 FUO524083 GEK524083 GOG524083 GYC524083 HHY524083 HRU524083 IBQ524083 ILM524083 IVI524083 JFE524083 JPA524083 JYW524083 KIS524083 KSO524083 LCK524083 LMG524083 LWC524083 MFY524083 MPU524083 MZQ524083 NJM524083 NTI524083 ODE524083 ONA524083 OWW524083 PGS524083 PQO524083 QAK524083 QKG524083 QUC524083 RDY524083 RNU524083 RXQ524083 SHM524083 SRI524083 TBE524083 TLA524083 TUW524083 UES524083 UOO524083 UYK524083 VIG524083 VSC524083 WBY524083 WLU524083 WVQ524083 F589640 JE589619 TA589619 ACW589619 AMS589619 AWO589619 BGK589619 BQG589619 CAC589619 CJY589619 CTU589619 DDQ589619 DNM589619 DXI589619 EHE589619 ERA589619 FAW589619 FKS589619 FUO589619 GEK589619 GOG589619 GYC589619 HHY589619 HRU589619 IBQ589619 ILM589619 IVI589619 JFE589619 JPA589619 JYW589619 KIS589619 KSO589619 LCK589619 LMG589619 LWC589619 MFY589619 MPU589619 MZQ589619 NJM589619 NTI589619 ODE589619 ONA589619 OWW589619 PGS589619 PQO589619 QAK589619 QKG589619 QUC589619 RDY589619 RNU589619 RXQ589619 SHM589619 SRI589619 TBE589619 TLA589619 TUW589619 UES589619 UOO589619 UYK589619 VIG589619 VSC589619 WBY589619 WLU589619 WVQ589619 F655176 JE655155 TA655155 ACW655155 AMS655155 AWO655155 BGK655155 BQG655155 CAC655155 CJY655155 CTU655155 DDQ655155 DNM655155 DXI655155 EHE655155 ERA655155 FAW655155 FKS655155 FUO655155 GEK655155 GOG655155 GYC655155 HHY655155 HRU655155 IBQ655155 ILM655155 IVI655155 JFE655155 JPA655155 JYW655155 KIS655155 KSO655155 LCK655155 LMG655155 LWC655155 MFY655155 MPU655155 MZQ655155 NJM655155 NTI655155 ODE655155 ONA655155 OWW655155 PGS655155 PQO655155 QAK655155 QKG655155 QUC655155 RDY655155 RNU655155 RXQ655155 SHM655155 SRI655155 TBE655155 TLA655155 TUW655155 UES655155 UOO655155 UYK655155 VIG655155 VSC655155 WBY655155 WLU655155 WVQ655155 F720712 JE720691 TA720691 ACW720691 AMS720691 AWO720691 BGK720691 BQG720691 CAC720691 CJY720691 CTU720691 DDQ720691 DNM720691 DXI720691 EHE720691 ERA720691 FAW720691 FKS720691 FUO720691 GEK720691 GOG720691 GYC720691 HHY720691 HRU720691 IBQ720691 ILM720691 IVI720691 JFE720691 JPA720691 JYW720691 KIS720691 KSO720691 LCK720691 LMG720691 LWC720691 MFY720691 MPU720691 MZQ720691 NJM720691 NTI720691 ODE720691 ONA720691 OWW720691 PGS720691 PQO720691 QAK720691 QKG720691 QUC720691 RDY720691 RNU720691 RXQ720691 SHM720691 SRI720691 TBE720691 TLA720691 TUW720691 UES720691 UOO720691 UYK720691 VIG720691 VSC720691 WBY720691 WLU720691 WVQ720691 F786248 JE786227 TA786227 ACW786227 AMS786227 AWO786227 BGK786227 BQG786227 CAC786227 CJY786227 CTU786227 DDQ786227 DNM786227 DXI786227 EHE786227 ERA786227 FAW786227 FKS786227 FUO786227 GEK786227 GOG786227 GYC786227 HHY786227 HRU786227 IBQ786227 ILM786227 IVI786227 JFE786227 JPA786227 JYW786227 KIS786227 KSO786227 LCK786227 LMG786227 LWC786227 MFY786227 MPU786227 MZQ786227 NJM786227 NTI786227 ODE786227 ONA786227 OWW786227 PGS786227 PQO786227 QAK786227 QKG786227 QUC786227 RDY786227 RNU786227 RXQ786227 SHM786227 SRI786227 TBE786227 TLA786227 TUW786227 UES786227 UOO786227 UYK786227 VIG786227 VSC786227 WBY786227 WLU786227 WVQ786227 F851784 JE851763 TA851763 ACW851763 AMS851763 AWO851763 BGK851763 BQG851763 CAC851763 CJY851763 CTU851763 DDQ851763 DNM851763 DXI851763 EHE851763 ERA851763 FAW851763 FKS851763 FUO851763 GEK851763 GOG851763 GYC851763 HHY851763 HRU851763 IBQ851763 ILM851763 IVI851763 JFE851763 JPA851763 JYW851763 KIS851763 KSO851763 LCK851763 LMG851763 LWC851763 MFY851763 MPU851763 MZQ851763 NJM851763 NTI851763 ODE851763 ONA851763 OWW851763 PGS851763 PQO851763 QAK851763 QKG851763 QUC851763 RDY851763 RNU851763 RXQ851763 SHM851763 SRI851763 TBE851763 TLA851763 TUW851763 UES851763 UOO851763 UYK851763 VIG851763 VSC851763 WBY851763 WLU851763 WVQ851763 F917320 JE917299 TA917299 ACW917299 AMS917299 AWO917299 BGK917299 BQG917299 CAC917299 CJY917299 CTU917299 DDQ917299 DNM917299 DXI917299 EHE917299 ERA917299 FAW917299 FKS917299 FUO917299 GEK917299 GOG917299 GYC917299 HHY917299 HRU917299 IBQ917299 ILM917299 IVI917299 JFE917299 JPA917299 JYW917299 KIS917299 KSO917299 LCK917299 LMG917299 LWC917299 MFY917299 MPU917299 MZQ917299 NJM917299 NTI917299 ODE917299 ONA917299 OWW917299 PGS917299 PQO917299 QAK917299 QKG917299 QUC917299 RDY917299 RNU917299 RXQ917299 SHM917299 SRI917299 TBE917299 TLA917299 TUW917299 UES917299 UOO917299 UYK917299 VIG917299 VSC917299 WBY917299 WLU917299 WVQ917299 F982856 JE982835 TA982835 ACW982835 AMS982835 AWO982835 BGK982835 BQG982835 CAC982835 CJY982835 CTU982835 DDQ982835 DNM982835 DXI982835 EHE982835 ERA982835 FAW982835 FKS982835 FUO982835 GEK982835 GOG982835 GYC982835 HHY982835 HRU982835 IBQ982835 ILM982835 IVI982835 JFE982835 JPA982835 JYW982835 KIS982835 KSO982835 LCK982835 LMG982835 LWC982835 MFY982835 MPU982835 MZQ982835 NJM982835 NTI982835 ODE982835 ONA982835 OWW982835 PGS982835 PQO982835 QAK982835 QKG982835 QUC982835 RDY982835 RNU982835 RXQ982835 SHM982835 SRI982835 TBE982835 TLA982835 TUW982835 UES982835 UOO982835 UYK982835 VIG982835 VSC982835 WBY982835 WLU982835 WVQ982835">
      <formula1>"Cu-0.135-09um,Cu-0.152-12um"</formula1>
    </dataValidation>
    <dataValidation type="list" allowBlank="1" showInputMessage="1" showErrorMessage="1" sqref="WVP982835 E65352 JD65331 SZ65331 ACV65331 AMR65331 AWN65331 BGJ65331 BQF65331 CAB65331 CJX65331 CTT65331 DDP65331 DNL65331 DXH65331 EHD65331 EQZ65331 FAV65331 FKR65331 FUN65331 GEJ65331 GOF65331 GYB65331 HHX65331 HRT65331 IBP65331 ILL65331 IVH65331 JFD65331 JOZ65331 JYV65331 KIR65331 KSN65331 LCJ65331 LMF65331 LWB65331 MFX65331 MPT65331 MZP65331 NJL65331 NTH65331 ODD65331 OMZ65331 OWV65331 PGR65331 PQN65331 QAJ65331 QKF65331 QUB65331 RDX65331 RNT65331 RXP65331 SHL65331 SRH65331 TBD65331 TKZ65331 TUV65331 UER65331 UON65331 UYJ65331 VIF65331 VSB65331 WBX65331 WLT65331 WVP65331 E130888 JD130867 SZ130867 ACV130867 AMR130867 AWN130867 BGJ130867 BQF130867 CAB130867 CJX130867 CTT130867 DDP130867 DNL130867 DXH130867 EHD130867 EQZ130867 FAV130867 FKR130867 FUN130867 GEJ130867 GOF130867 GYB130867 HHX130867 HRT130867 IBP130867 ILL130867 IVH130867 JFD130867 JOZ130867 JYV130867 KIR130867 KSN130867 LCJ130867 LMF130867 LWB130867 MFX130867 MPT130867 MZP130867 NJL130867 NTH130867 ODD130867 OMZ130867 OWV130867 PGR130867 PQN130867 QAJ130867 QKF130867 QUB130867 RDX130867 RNT130867 RXP130867 SHL130867 SRH130867 TBD130867 TKZ130867 TUV130867 UER130867 UON130867 UYJ130867 VIF130867 VSB130867 WBX130867 WLT130867 WVP130867 E196424 JD196403 SZ196403 ACV196403 AMR196403 AWN196403 BGJ196403 BQF196403 CAB196403 CJX196403 CTT196403 DDP196403 DNL196403 DXH196403 EHD196403 EQZ196403 FAV196403 FKR196403 FUN196403 GEJ196403 GOF196403 GYB196403 HHX196403 HRT196403 IBP196403 ILL196403 IVH196403 JFD196403 JOZ196403 JYV196403 KIR196403 KSN196403 LCJ196403 LMF196403 LWB196403 MFX196403 MPT196403 MZP196403 NJL196403 NTH196403 ODD196403 OMZ196403 OWV196403 PGR196403 PQN196403 QAJ196403 QKF196403 QUB196403 RDX196403 RNT196403 RXP196403 SHL196403 SRH196403 TBD196403 TKZ196403 TUV196403 UER196403 UON196403 UYJ196403 VIF196403 VSB196403 WBX196403 WLT196403 WVP196403 E261960 JD261939 SZ261939 ACV261939 AMR261939 AWN261939 BGJ261939 BQF261939 CAB261939 CJX261939 CTT261939 DDP261939 DNL261939 DXH261939 EHD261939 EQZ261939 FAV261939 FKR261939 FUN261939 GEJ261939 GOF261939 GYB261939 HHX261939 HRT261939 IBP261939 ILL261939 IVH261939 JFD261939 JOZ261939 JYV261939 KIR261939 KSN261939 LCJ261939 LMF261939 LWB261939 MFX261939 MPT261939 MZP261939 NJL261939 NTH261939 ODD261939 OMZ261939 OWV261939 PGR261939 PQN261939 QAJ261939 QKF261939 QUB261939 RDX261939 RNT261939 RXP261939 SHL261939 SRH261939 TBD261939 TKZ261939 TUV261939 UER261939 UON261939 UYJ261939 VIF261939 VSB261939 WBX261939 WLT261939 WVP261939 E327496 JD327475 SZ327475 ACV327475 AMR327475 AWN327475 BGJ327475 BQF327475 CAB327475 CJX327475 CTT327475 DDP327475 DNL327475 DXH327475 EHD327475 EQZ327475 FAV327475 FKR327475 FUN327475 GEJ327475 GOF327475 GYB327475 HHX327475 HRT327475 IBP327475 ILL327475 IVH327475 JFD327475 JOZ327475 JYV327475 KIR327475 KSN327475 LCJ327475 LMF327475 LWB327475 MFX327475 MPT327475 MZP327475 NJL327475 NTH327475 ODD327475 OMZ327475 OWV327475 PGR327475 PQN327475 QAJ327475 QKF327475 QUB327475 RDX327475 RNT327475 RXP327475 SHL327475 SRH327475 TBD327475 TKZ327475 TUV327475 UER327475 UON327475 UYJ327475 VIF327475 VSB327475 WBX327475 WLT327475 WVP327475 E393032 JD393011 SZ393011 ACV393011 AMR393011 AWN393011 BGJ393011 BQF393011 CAB393011 CJX393011 CTT393011 DDP393011 DNL393011 DXH393011 EHD393011 EQZ393011 FAV393011 FKR393011 FUN393011 GEJ393011 GOF393011 GYB393011 HHX393011 HRT393011 IBP393011 ILL393011 IVH393011 JFD393011 JOZ393011 JYV393011 KIR393011 KSN393011 LCJ393011 LMF393011 LWB393011 MFX393011 MPT393011 MZP393011 NJL393011 NTH393011 ODD393011 OMZ393011 OWV393011 PGR393011 PQN393011 QAJ393011 QKF393011 QUB393011 RDX393011 RNT393011 RXP393011 SHL393011 SRH393011 TBD393011 TKZ393011 TUV393011 UER393011 UON393011 UYJ393011 VIF393011 VSB393011 WBX393011 WLT393011 WVP393011 E458568 JD458547 SZ458547 ACV458547 AMR458547 AWN458547 BGJ458547 BQF458547 CAB458547 CJX458547 CTT458547 DDP458547 DNL458547 DXH458547 EHD458547 EQZ458547 FAV458547 FKR458547 FUN458547 GEJ458547 GOF458547 GYB458547 HHX458547 HRT458547 IBP458547 ILL458547 IVH458547 JFD458547 JOZ458547 JYV458547 KIR458547 KSN458547 LCJ458547 LMF458547 LWB458547 MFX458547 MPT458547 MZP458547 NJL458547 NTH458547 ODD458547 OMZ458547 OWV458547 PGR458547 PQN458547 QAJ458547 QKF458547 QUB458547 RDX458547 RNT458547 RXP458547 SHL458547 SRH458547 TBD458547 TKZ458547 TUV458547 UER458547 UON458547 UYJ458547 VIF458547 VSB458547 WBX458547 WLT458547 WVP458547 E524104 JD524083 SZ524083 ACV524083 AMR524083 AWN524083 BGJ524083 BQF524083 CAB524083 CJX524083 CTT524083 DDP524083 DNL524083 DXH524083 EHD524083 EQZ524083 FAV524083 FKR524083 FUN524083 GEJ524083 GOF524083 GYB524083 HHX524083 HRT524083 IBP524083 ILL524083 IVH524083 JFD524083 JOZ524083 JYV524083 KIR524083 KSN524083 LCJ524083 LMF524083 LWB524083 MFX524083 MPT524083 MZP524083 NJL524083 NTH524083 ODD524083 OMZ524083 OWV524083 PGR524083 PQN524083 QAJ524083 QKF524083 QUB524083 RDX524083 RNT524083 RXP524083 SHL524083 SRH524083 TBD524083 TKZ524083 TUV524083 UER524083 UON524083 UYJ524083 VIF524083 VSB524083 WBX524083 WLT524083 WVP524083 E589640 JD589619 SZ589619 ACV589619 AMR589619 AWN589619 BGJ589619 BQF589619 CAB589619 CJX589619 CTT589619 DDP589619 DNL589619 DXH589619 EHD589619 EQZ589619 FAV589619 FKR589619 FUN589619 GEJ589619 GOF589619 GYB589619 HHX589619 HRT589619 IBP589619 ILL589619 IVH589619 JFD589619 JOZ589619 JYV589619 KIR589619 KSN589619 LCJ589619 LMF589619 LWB589619 MFX589619 MPT589619 MZP589619 NJL589619 NTH589619 ODD589619 OMZ589619 OWV589619 PGR589619 PQN589619 QAJ589619 QKF589619 QUB589619 RDX589619 RNT589619 RXP589619 SHL589619 SRH589619 TBD589619 TKZ589619 TUV589619 UER589619 UON589619 UYJ589619 VIF589619 VSB589619 WBX589619 WLT589619 WVP589619 E655176 JD655155 SZ655155 ACV655155 AMR655155 AWN655155 BGJ655155 BQF655155 CAB655155 CJX655155 CTT655155 DDP655155 DNL655155 DXH655155 EHD655155 EQZ655155 FAV655155 FKR655155 FUN655155 GEJ655155 GOF655155 GYB655155 HHX655155 HRT655155 IBP655155 ILL655155 IVH655155 JFD655155 JOZ655155 JYV655155 KIR655155 KSN655155 LCJ655155 LMF655155 LWB655155 MFX655155 MPT655155 MZP655155 NJL655155 NTH655155 ODD655155 OMZ655155 OWV655155 PGR655155 PQN655155 QAJ655155 QKF655155 QUB655155 RDX655155 RNT655155 RXP655155 SHL655155 SRH655155 TBD655155 TKZ655155 TUV655155 UER655155 UON655155 UYJ655155 VIF655155 VSB655155 WBX655155 WLT655155 WVP655155 E720712 JD720691 SZ720691 ACV720691 AMR720691 AWN720691 BGJ720691 BQF720691 CAB720691 CJX720691 CTT720691 DDP720691 DNL720691 DXH720691 EHD720691 EQZ720691 FAV720691 FKR720691 FUN720691 GEJ720691 GOF720691 GYB720691 HHX720691 HRT720691 IBP720691 ILL720691 IVH720691 JFD720691 JOZ720691 JYV720691 KIR720691 KSN720691 LCJ720691 LMF720691 LWB720691 MFX720691 MPT720691 MZP720691 NJL720691 NTH720691 ODD720691 OMZ720691 OWV720691 PGR720691 PQN720691 QAJ720691 QKF720691 QUB720691 RDX720691 RNT720691 RXP720691 SHL720691 SRH720691 TBD720691 TKZ720691 TUV720691 UER720691 UON720691 UYJ720691 VIF720691 VSB720691 WBX720691 WLT720691 WVP720691 E786248 JD786227 SZ786227 ACV786227 AMR786227 AWN786227 BGJ786227 BQF786227 CAB786227 CJX786227 CTT786227 DDP786227 DNL786227 DXH786227 EHD786227 EQZ786227 FAV786227 FKR786227 FUN786227 GEJ786227 GOF786227 GYB786227 HHX786227 HRT786227 IBP786227 ILL786227 IVH786227 JFD786227 JOZ786227 JYV786227 KIR786227 KSN786227 LCJ786227 LMF786227 LWB786227 MFX786227 MPT786227 MZP786227 NJL786227 NTH786227 ODD786227 OMZ786227 OWV786227 PGR786227 PQN786227 QAJ786227 QKF786227 QUB786227 RDX786227 RNT786227 RXP786227 SHL786227 SRH786227 TBD786227 TKZ786227 TUV786227 UER786227 UON786227 UYJ786227 VIF786227 VSB786227 WBX786227 WLT786227 WVP786227 E851784 JD851763 SZ851763 ACV851763 AMR851763 AWN851763 BGJ851763 BQF851763 CAB851763 CJX851763 CTT851763 DDP851763 DNL851763 DXH851763 EHD851763 EQZ851763 FAV851763 FKR851763 FUN851763 GEJ851763 GOF851763 GYB851763 HHX851763 HRT851763 IBP851763 ILL851763 IVH851763 JFD851763 JOZ851763 JYV851763 KIR851763 KSN851763 LCJ851763 LMF851763 LWB851763 MFX851763 MPT851763 MZP851763 NJL851763 NTH851763 ODD851763 OMZ851763 OWV851763 PGR851763 PQN851763 QAJ851763 QKF851763 QUB851763 RDX851763 RNT851763 RXP851763 SHL851763 SRH851763 TBD851763 TKZ851763 TUV851763 UER851763 UON851763 UYJ851763 VIF851763 VSB851763 WBX851763 WLT851763 WVP851763 E917320 JD917299 SZ917299 ACV917299 AMR917299 AWN917299 BGJ917299 BQF917299 CAB917299 CJX917299 CTT917299 DDP917299 DNL917299 DXH917299 EHD917299 EQZ917299 FAV917299 FKR917299 FUN917299 GEJ917299 GOF917299 GYB917299 HHX917299 HRT917299 IBP917299 ILL917299 IVH917299 JFD917299 JOZ917299 JYV917299 KIR917299 KSN917299 LCJ917299 LMF917299 LWB917299 MFX917299 MPT917299 MZP917299 NJL917299 NTH917299 ODD917299 OMZ917299 OWV917299 PGR917299 PQN917299 QAJ917299 QKF917299 QUB917299 RDX917299 RNT917299 RXP917299 SHL917299 SRH917299 TBD917299 TKZ917299 TUV917299 UER917299 UON917299 UYJ917299 VIF917299 VSB917299 WBX917299 WLT917299 WVP917299 E982856 JD982835 SZ982835 ACV982835 AMR982835 AWN982835 BGJ982835 BQF982835 CAB982835 CJX982835 CTT982835 DDP982835 DNL982835 DXH982835 EHD982835 EQZ982835 FAV982835 FKR982835 FUN982835 GEJ982835 GOF982835 GYB982835 HHX982835 HRT982835 IBP982835 ILL982835 IVH982835 JFD982835 JOZ982835 JYV982835 KIR982835 KSN982835 LCJ982835 LMF982835 LWB982835 MFX982835 MPT982835 MZP982835 NJL982835 NTH982835 ODD982835 OMZ982835 OWV982835 PGR982835 PQN982835 QAJ982835 QKF982835 QUB982835 RDX982835 RNT982835 RXP982835 SHL982835 SRH982835 TBD982835 TKZ982835 TUV982835 UER982835 UON982835 UYJ982835 VIF982835 VSB982835 WBX982835 WLT982835">
      <formula1>"XX30,PP2068,CD-25,XX-25,CD-16,ED-20,PE-12,ED-13"</formula1>
    </dataValidation>
    <dataValidation type="list" allowBlank="1" showInputMessage="1" showErrorMessage="1" sqref="B65358 JA65337 SW65337 ACS65337 AMO65337 AWK65337 BGG65337 BQC65337 BZY65337 CJU65337 CTQ65337 DDM65337 DNI65337 DXE65337 EHA65337 EQW65337 FAS65337 FKO65337 FUK65337 GEG65337 GOC65337 GXY65337 HHU65337 HRQ65337 IBM65337 ILI65337 IVE65337 JFA65337 JOW65337 JYS65337 KIO65337 KSK65337 LCG65337 LMC65337 LVY65337 MFU65337 MPQ65337 MZM65337 NJI65337 NTE65337 ODA65337 OMW65337 OWS65337 PGO65337 PQK65337 QAG65337 QKC65337 QTY65337 RDU65337 RNQ65337 RXM65337 SHI65337 SRE65337 TBA65337 TKW65337 TUS65337 UEO65337 UOK65337 UYG65337 VIC65337 VRY65337 WBU65337 WLQ65337 WVM65337 B130894 JA130873 SW130873 ACS130873 AMO130873 AWK130873 BGG130873 BQC130873 BZY130873 CJU130873 CTQ130873 DDM130873 DNI130873 DXE130873 EHA130873 EQW130873 FAS130873 FKO130873 FUK130873 GEG130873 GOC130873 GXY130873 HHU130873 HRQ130873 IBM130873 ILI130873 IVE130873 JFA130873 JOW130873 JYS130873 KIO130873 KSK130873 LCG130873 LMC130873 LVY130873 MFU130873 MPQ130873 MZM130873 NJI130873 NTE130873 ODA130873 OMW130873 OWS130873 PGO130873 PQK130873 QAG130873 QKC130873 QTY130873 RDU130873 RNQ130873 RXM130873 SHI130873 SRE130873 TBA130873 TKW130873 TUS130873 UEO130873 UOK130873 UYG130873 VIC130873 VRY130873 WBU130873 WLQ130873 WVM130873 B196430 JA196409 SW196409 ACS196409 AMO196409 AWK196409 BGG196409 BQC196409 BZY196409 CJU196409 CTQ196409 DDM196409 DNI196409 DXE196409 EHA196409 EQW196409 FAS196409 FKO196409 FUK196409 GEG196409 GOC196409 GXY196409 HHU196409 HRQ196409 IBM196409 ILI196409 IVE196409 JFA196409 JOW196409 JYS196409 KIO196409 KSK196409 LCG196409 LMC196409 LVY196409 MFU196409 MPQ196409 MZM196409 NJI196409 NTE196409 ODA196409 OMW196409 OWS196409 PGO196409 PQK196409 QAG196409 QKC196409 QTY196409 RDU196409 RNQ196409 RXM196409 SHI196409 SRE196409 TBA196409 TKW196409 TUS196409 UEO196409 UOK196409 UYG196409 VIC196409 VRY196409 WBU196409 WLQ196409 WVM196409 B261966 JA261945 SW261945 ACS261945 AMO261945 AWK261945 BGG261945 BQC261945 BZY261945 CJU261945 CTQ261945 DDM261945 DNI261945 DXE261945 EHA261945 EQW261945 FAS261945 FKO261945 FUK261945 GEG261945 GOC261945 GXY261945 HHU261945 HRQ261945 IBM261945 ILI261945 IVE261945 JFA261945 JOW261945 JYS261945 KIO261945 KSK261945 LCG261945 LMC261945 LVY261945 MFU261945 MPQ261945 MZM261945 NJI261945 NTE261945 ODA261945 OMW261945 OWS261945 PGO261945 PQK261945 QAG261945 QKC261945 QTY261945 RDU261945 RNQ261945 RXM261945 SHI261945 SRE261945 TBA261945 TKW261945 TUS261945 UEO261945 UOK261945 UYG261945 VIC261945 VRY261945 WBU261945 WLQ261945 WVM261945 B327502 JA327481 SW327481 ACS327481 AMO327481 AWK327481 BGG327481 BQC327481 BZY327481 CJU327481 CTQ327481 DDM327481 DNI327481 DXE327481 EHA327481 EQW327481 FAS327481 FKO327481 FUK327481 GEG327481 GOC327481 GXY327481 HHU327481 HRQ327481 IBM327481 ILI327481 IVE327481 JFA327481 JOW327481 JYS327481 KIO327481 KSK327481 LCG327481 LMC327481 LVY327481 MFU327481 MPQ327481 MZM327481 NJI327481 NTE327481 ODA327481 OMW327481 OWS327481 PGO327481 PQK327481 QAG327481 QKC327481 QTY327481 RDU327481 RNQ327481 RXM327481 SHI327481 SRE327481 TBA327481 TKW327481 TUS327481 UEO327481 UOK327481 UYG327481 VIC327481 VRY327481 WBU327481 WLQ327481 WVM327481 B393038 JA393017 SW393017 ACS393017 AMO393017 AWK393017 BGG393017 BQC393017 BZY393017 CJU393017 CTQ393017 DDM393017 DNI393017 DXE393017 EHA393017 EQW393017 FAS393017 FKO393017 FUK393017 GEG393017 GOC393017 GXY393017 HHU393017 HRQ393017 IBM393017 ILI393017 IVE393017 JFA393017 JOW393017 JYS393017 KIO393017 KSK393017 LCG393017 LMC393017 LVY393017 MFU393017 MPQ393017 MZM393017 NJI393017 NTE393017 ODA393017 OMW393017 OWS393017 PGO393017 PQK393017 QAG393017 QKC393017 QTY393017 RDU393017 RNQ393017 RXM393017 SHI393017 SRE393017 TBA393017 TKW393017 TUS393017 UEO393017 UOK393017 UYG393017 VIC393017 VRY393017 WBU393017 WLQ393017 WVM393017 B458574 JA458553 SW458553 ACS458553 AMO458553 AWK458553 BGG458553 BQC458553 BZY458553 CJU458553 CTQ458553 DDM458553 DNI458553 DXE458553 EHA458553 EQW458553 FAS458553 FKO458553 FUK458553 GEG458553 GOC458553 GXY458553 HHU458553 HRQ458553 IBM458553 ILI458553 IVE458553 JFA458553 JOW458553 JYS458553 KIO458553 KSK458553 LCG458553 LMC458553 LVY458553 MFU458553 MPQ458553 MZM458553 NJI458553 NTE458553 ODA458553 OMW458553 OWS458553 PGO458553 PQK458553 QAG458553 QKC458553 QTY458553 RDU458553 RNQ458553 RXM458553 SHI458553 SRE458553 TBA458553 TKW458553 TUS458553 UEO458553 UOK458553 UYG458553 VIC458553 VRY458553 WBU458553 WLQ458553 WVM458553 B524110 JA524089 SW524089 ACS524089 AMO524089 AWK524089 BGG524089 BQC524089 BZY524089 CJU524089 CTQ524089 DDM524089 DNI524089 DXE524089 EHA524089 EQW524089 FAS524089 FKO524089 FUK524089 GEG524089 GOC524089 GXY524089 HHU524089 HRQ524089 IBM524089 ILI524089 IVE524089 JFA524089 JOW524089 JYS524089 KIO524089 KSK524089 LCG524089 LMC524089 LVY524089 MFU524089 MPQ524089 MZM524089 NJI524089 NTE524089 ODA524089 OMW524089 OWS524089 PGO524089 PQK524089 QAG524089 QKC524089 QTY524089 RDU524089 RNQ524089 RXM524089 SHI524089 SRE524089 TBA524089 TKW524089 TUS524089 UEO524089 UOK524089 UYG524089 VIC524089 VRY524089 WBU524089 WLQ524089 WVM524089 B589646 JA589625 SW589625 ACS589625 AMO589625 AWK589625 BGG589625 BQC589625 BZY589625 CJU589625 CTQ589625 DDM589625 DNI589625 DXE589625 EHA589625 EQW589625 FAS589625 FKO589625 FUK589625 GEG589625 GOC589625 GXY589625 HHU589625 HRQ589625 IBM589625 ILI589625 IVE589625 JFA589625 JOW589625 JYS589625 KIO589625 KSK589625 LCG589625 LMC589625 LVY589625 MFU589625 MPQ589625 MZM589625 NJI589625 NTE589625 ODA589625 OMW589625 OWS589625 PGO589625 PQK589625 QAG589625 QKC589625 QTY589625 RDU589625 RNQ589625 RXM589625 SHI589625 SRE589625 TBA589625 TKW589625 TUS589625 UEO589625 UOK589625 UYG589625 VIC589625 VRY589625 WBU589625 WLQ589625 WVM589625 B655182 JA655161 SW655161 ACS655161 AMO655161 AWK655161 BGG655161 BQC655161 BZY655161 CJU655161 CTQ655161 DDM655161 DNI655161 DXE655161 EHA655161 EQW655161 FAS655161 FKO655161 FUK655161 GEG655161 GOC655161 GXY655161 HHU655161 HRQ655161 IBM655161 ILI655161 IVE655161 JFA655161 JOW655161 JYS655161 KIO655161 KSK655161 LCG655161 LMC655161 LVY655161 MFU655161 MPQ655161 MZM655161 NJI655161 NTE655161 ODA655161 OMW655161 OWS655161 PGO655161 PQK655161 QAG655161 QKC655161 QTY655161 RDU655161 RNQ655161 RXM655161 SHI655161 SRE655161 TBA655161 TKW655161 TUS655161 UEO655161 UOK655161 UYG655161 VIC655161 VRY655161 WBU655161 WLQ655161 WVM655161 B720718 JA720697 SW720697 ACS720697 AMO720697 AWK720697 BGG720697 BQC720697 BZY720697 CJU720697 CTQ720697 DDM720697 DNI720697 DXE720697 EHA720697 EQW720697 FAS720697 FKO720697 FUK720697 GEG720697 GOC720697 GXY720697 HHU720697 HRQ720697 IBM720697 ILI720697 IVE720697 JFA720697 JOW720697 JYS720697 KIO720697 KSK720697 LCG720697 LMC720697 LVY720697 MFU720697 MPQ720697 MZM720697 NJI720697 NTE720697 ODA720697 OMW720697 OWS720697 PGO720697 PQK720697 QAG720697 QKC720697 QTY720697 RDU720697 RNQ720697 RXM720697 SHI720697 SRE720697 TBA720697 TKW720697 TUS720697 UEO720697 UOK720697 UYG720697 VIC720697 VRY720697 WBU720697 WLQ720697 WVM720697 B786254 JA786233 SW786233 ACS786233 AMO786233 AWK786233 BGG786233 BQC786233 BZY786233 CJU786233 CTQ786233 DDM786233 DNI786233 DXE786233 EHA786233 EQW786233 FAS786233 FKO786233 FUK786233 GEG786233 GOC786233 GXY786233 HHU786233 HRQ786233 IBM786233 ILI786233 IVE786233 JFA786233 JOW786233 JYS786233 KIO786233 KSK786233 LCG786233 LMC786233 LVY786233 MFU786233 MPQ786233 MZM786233 NJI786233 NTE786233 ODA786233 OMW786233 OWS786233 PGO786233 PQK786233 QAG786233 QKC786233 QTY786233 RDU786233 RNQ786233 RXM786233 SHI786233 SRE786233 TBA786233 TKW786233 TUS786233 UEO786233 UOK786233 UYG786233 VIC786233 VRY786233 WBU786233 WLQ786233 WVM786233 B851790 JA851769 SW851769 ACS851769 AMO851769 AWK851769 BGG851769 BQC851769 BZY851769 CJU851769 CTQ851769 DDM851769 DNI851769 DXE851769 EHA851769 EQW851769 FAS851769 FKO851769 FUK851769 GEG851769 GOC851769 GXY851769 HHU851769 HRQ851769 IBM851769 ILI851769 IVE851769 JFA851769 JOW851769 JYS851769 KIO851769 KSK851769 LCG851769 LMC851769 LVY851769 MFU851769 MPQ851769 MZM851769 NJI851769 NTE851769 ODA851769 OMW851769 OWS851769 PGO851769 PQK851769 QAG851769 QKC851769 QTY851769 RDU851769 RNQ851769 RXM851769 SHI851769 SRE851769 TBA851769 TKW851769 TUS851769 UEO851769 UOK851769 UYG851769 VIC851769 VRY851769 WBU851769 WLQ851769 WVM851769 B917326 JA917305 SW917305 ACS917305 AMO917305 AWK917305 BGG917305 BQC917305 BZY917305 CJU917305 CTQ917305 DDM917305 DNI917305 DXE917305 EHA917305 EQW917305 FAS917305 FKO917305 FUK917305 GEG917305 GOC917305 GXY917305 HHU917305 HRQ917305 IBM917305 ILI917305 IVE917305 JFA917305 JOW917305 JYS917305 KIO917305 KSK917305 LCG917305 LMC917305 LVY917305 MFU917305 MPQ917305 MZM917305 NJI917305 NTE917305 ODA917305 OMW917305 OWS917305 PGO917305 PQK917305 QAG917305 QKC917305 QTY917305 RDU917305 RNQ917305 RXM917305 SHI917305 SRE917305 TBA917305 TKW917305 TUS917305 UEO917305 UOK917305 UYG917305 VIC917305 VRY917305 WBU917305 WLQ917305 WVM917305 B982862 JA982841 SW982841 ACS982841 AMO982841 AWK982841 BGG982841 BQC982841 BZY982841 CJU982841 CTQ982841 DDM982841 DNI982841 DXE982841 EHA982841 EQW982841 FAS982841 FKO982841 FUK982841 GEG982841 GOC982841 GXY982841 HHU982841 HRQ982841 IBM982841 ILI982841 IVE982841 JFA982841 JOW982841 JYS982841 KIO982841 KSK982841 LCG982841 LMC982841 LVY982841 MFU982841 MPQ982841 MZM982841 NJI982841 NTE982841 ODA982841 OMW982841 OWS982841 PGO982841 PQK982841 QAG982841 QKC982841 QTY982841 RDU982841 RNQ982841 RXM982841 SHI982841 SRE982841 TBA982841 TKW982841 TUS982841 UEO982841 UOK982841 UYG982841 VIC982841 VRY982841 WBU982841 WLQ982841 WVM982841">
      <formula1>"Cathode,Anode"</formula1>
    </dataValidation>
    <dataValidation type="list" allowBlank="1" showInputMessage="1" showErrorMessage="1" sqref="D65358:E65358 JC65337:JD65337 SY65337:SZ65337 ACU65337:ACV65337 AMQ65337:AMR65337 AWM65337:AWN65337 BGI65337:BGJ65337 BQE65337:BQF65337 CAA65337:CAB65337 CJW65337:CJX65337 CTS65337:CTT65337 DDO65337:DDP65337 DNK65337:DNL65337 DXG65337:DXH65337 EHC65337:EHD65337 EQY65337:EQZ65337 FAU65337:FAV65337 FKQ65337:FKR65337 FUM65337:FUN65337 GEI65337:GEJ65337 GOE65337:GOF65337 GYA65337:GYB65337 HHW65337:HHX65337 HRS65337:HRT65337 IBO65337:IBP65337 ILK65337:ILL65337 IVG65337:IVH65337 JFC65337:JFD65337 JOY65337:JOZ65337 JYU65337:JYV65337 KIQ65337:KIR65337 KSM65337:KSN65337 LCI65337:LCJ65337 LME65337:LMF65337 LWA65337:LWB65337 MFW65337:MFX65337 MPS65337:MPT65337 MZO65337:MZP65337 NJK65337:NJL65337 NTG65337:NTH65337 ODC65337:ODD65337 OMY65337:OMZ65337 OWU65337:OWV65337 PGQ65337:PGR65337 PQM65337:PQN65337 QAI65337:QAJ65337 QKE65337:QKF65337 QUA65337:QUB65337 RDW65337:RDX65337 RNS65337:RNT65337 RXO65337:RXP65337 SHK65337:SHL65337 SRG65337:SRH65337 TBC65337:TBD65337 TKY65337:TKZ65337 TUU65337:TUV65337 UEQ65337:UER65337 UOM65337:UON65337 UYI65337:UYJ65337 VIE65337:VIF65337 VSA65337:VSB65337 WBW65337:WBX65337 WLS65337:WLT65337 WVO65337:WVP65337 D130894:E130894 JC130873:JD130873 SY130873:SZ130873 ACU130873:ACV130873 AMQ130873:AMR130873 AWM130873:AWN130873 BGI130873:BGJ130873 BQE130873:BQF130873 CAA130873:CAB130873 CJW130873:CJX130873 CTS130873:CTT130873 DDO130873:DDP130873 DNK130873:DNL130873 DXG130873:DXH130873 EHC130873:EHD130873 EQY130873:EQZ130873 FAU130873:FAV130873 FKQ130873:FKR130873 FUM130873:FUN130873 GEI130873:GEJ130873 GOE130873:GOF130873 GYA130873:GYB130873 HHW130873:HHX130873 HRS130873:HRT130873 IBO130873:IBP130873 ILK130873:ILL130873 IVG130873:IVH130873 JFC130873:JFD130873 JOY130873:JOZ130873 JYU130873:JYV130873 KIQ130873:KIR130873 KSM130873:KSN130873 LCI130873:LCJ130873 LME130873:LMF130873 LWA130873:LWB130873 MFW130873:MFX130873 MPS130873:MPT130873 MZO130873:MZP130873 NJK130873:NJL130873 NTG130873:NTH130873 ODC130873:ODD130873 OMY130873:OMZ130873 OWU130873:OWV130873 PGQ130873:PGR130873 PQM130873:PQN130873 QAI130873:QAJ130873 QKE130873:QKF130873 QUA130873:QUB130873 RDW130873:RDX130873 RNS130873:RNT130873 RXO130873:RXP130873 SHK130873:SHL130873 SRG130873:SRH130873 TBC130873:TBD130873 TKY130873:TKZ130873 TUU130873:TUV130873 UEQ130873:UER130873 UOM130873:UON130873 UYI130873:UYJ130873 VIE130873:VIF130873 VSA130873:VSB130873 WBW130873:WBX130873 WLS130873:WLT130873 WVO130873:WVP130873 D196430:E196430 JC196409:JD196409 SY196409:SZ196409 ACU196409:ACV196409 AMQ196409:AMR196409 AWM196409:AWN196409 BGI196409:BGJ196409 BQE196409:BQF196409 CAA196409:CAB196409 CJW196409:CJX196409 CTS196409:CTT196409 DDO196409:DDP196409 DNK196409:DNL196409 DXG196409:DXH196409 EHC196409:EHD196409 EQY196409:EQZ196409 FAU196409:FAV196409 FKQ196409:FKR196409 FUM196409:FUN196409 GEI196409:GEJ196409 GOE196409:GOF196409 GYA196409:GYB196409 HHW196409:HHX196409 HRS196409:HRT196409 IBO196409:IBP196409 ILK196409:ILL196409 IVG196409:IVH196409 JFC196409:JFD196409 JOY196409:JOZ196409 JYU196409:JYV196409 KIQ196409:KIR196409 KSM196409:KSN196409 LCI196409:LCJ196409 LME196409:LMF196409 LWA196409:LWB196409 MFW196409:MFX196409 MPS196409:MPT196409 MZO196409:MZP196409 NJK196409:NJL196409 NTG196409:NTH196409 ODC196409:ODD196409 OMY196409:OMZ196409 OWU196409:OWV196409 PGQ196409:PGR196409 PQM196409:PQN196409 QAI196409:QAJ196409 QKE196409:QKF196409 QUA196409:QUB196409 RDW196409:RDX196409 RNS196409:RNT196409 RXO196409:RXP196409 SHK196409:SHL196409 SRG196409:SRH196409 TBC196409:TBD196409 TKY196409:TKZ196409 TUU196409:TUV196409 UEQ196409:UER196409 UOM196409:UON196409 UYI196409:UYJ196409 VIE196409:VIF196409 VSA196409:VSB196409 WBW196409:WBX196409 WLS196409:WLT196409 WVO196409:WVP196409 D261966:E261966 JC261945:JD261945 SY261945:SZ261945 ACU261945:ACV261945 AMQ261945:AMR261945 AWM261945:AWN261945 BGI261945:BGJ261945 BQE261945:BQF261945 CAA261945:CAB261945 CJW261945:CJX261945 CTS261945:CTT261945 DDO261945:DDP261945 DNK261945:DNL261945 DXG261945:DXH261945 EHC261945:EHD261945 EQY261945:EQZ261945 FAU261945:FAV261945 FKQ261945:FKR261945 FUM261945:FUN261945 GEI261945:GEJ261945 GOE261945:GOF261945 GYA261945:GYB261945 HHW261945:HHX261945 HRS261945:HRT261945 IBO261945:IBP261945 ILK261945:ILL261945 IVG261945:IVH261945 JFC261945:JFD261945 JOY261945:JOZ261945 JYU261945:JYV261945 KIQ261945:KIR261945 KSM261945:KSN261945 LCI261945:LCJ261945 LME261945:LMF261945 LWA261945:LWB261945 MFW261945:MFX261945 MPS261945:MPT261945 MZO261945:MZP261945 NJK261945:NJL261945 NTG261945:NTH261945 ODC261945:ODD261945 OMY261945:OMZ261945 OWU261945:OWV261945 PGQ261945:PGR261945 PQM261945:PQN261945 QAI261945:QAJ261945 QKE261945:QKF261945 QUA261945:QUB261945 RDW261945:RDX261945 RNS261945:RNT261945 RXO261945:RXP261945 SHK261945:SHL261945 SRG261945:SRH261945 TBC261945:TBD261945 TKY261945:TKZ261945 TUU261945:TUV261945 UEQ261945:UER261945 UOM261945:UON261945 UYI261945:UYJ261945 VIE261945:VIF261945 VSA261945:VSB261945 WBW261945:WBX261945 WLS261945:WLT261945 WVO261945:WVP261945 D327502:E327502 JC327481:JD327481 SY327481:SZ327481 ACU327481:ACV327481 AMQ327481:AMR327481 AWM327481:AWN327481 BGI327481:BGJ327481 BQE327481:BQF327481 CAA327481:CAB327481 CJW327481:CJX327481 CTS327481:CTT327481 DDO327481:DDP327481 DNK327481:DNL327481 DXG327481:DXH327481 EHC327481:EHD327481 EQY327481:EQZ327481 FAU327481:FAV327481 FKQ327481:FKR327481 FUM327481:FUN327481 GEI327481:GEJ327481 GOE327481:GOF327481 GYA327481:GYB327481 HHW327481:HHX327481 HRS327481:HRT327481 IBO327481:IBP327481 ILK327481:ILL327481 IVG327481:IVH327481 JFC327481:JFD327481 JOY327481:JOZ327481 JYU327481:JYV327481 KIQ327481:KIR327481 KSM327481:KSN327481 LCI327481:LCJ327481 LME327481:LMF327481 LWA327481:LWB327481 MFW327481:MFX327481 MPS327481:MPT327481 MZO327481:MZP327481 NJK327481:NJL327481 NTG327481:NTH327481 ODC327481:ODD327481 OMY327481:OMZ327481 OWU327481:OWV327481 PGQ327481:PGR327481 PQM327481:PQN327481 QAI327481:QAJ327481 QKE327481:QKF327481 QUA327481:QUB327481 RDW327481:RDX327481 RNS327481:RNT327481 RXO327481:RXP327481 SHK327481:SHL327481 SRG327481:SRH327481 TBC327481:TBD327481 TKY327481:TKZ327481 TUU327481:TUV327481 UEQ327481:UER327481 UOM327481:UON327481 UYI327481:UYJ327481 VIE327481:VIF327481 VSA327481:VSB327481 WBW327481:WBX327481 WLS327481:WLT327481 WVO327481:WVP327481 D393038:E393038 JC393017:JD393017 SY393017:SZ393017 ACU393017:ACV393017 AMQ393017:AMR393017 AWM393017:AWN393017 BGI393017:BGJ393017 BQE393017:BQF393017 CAA393017:CAB393017 CJW393017:CJX393017 CTS393017:CTT393017 DDO393017:DDP393017 DNK393017:DNL393017 DXG393017:DXH393017 EHC393017:EHD393017 EQY393017:EQZ393017 FAU393017:FAV393017 FKQ393017:FKR393017 FUM393017:FUN393017 GEI393017:GEJ393017 GOE393017:GOF393017 GYA393017:GYB393017 HHW393017:HHX393017 HRS393017:HRT393017 IBO393017:IBP393017 ILK393017:ILL393017 IVG393017:IVH393017 JFC393017:JFD393017 JOY393017:JOZ393017 JYU393017:JYV393017 KIQ393017:KIR393017 KSM393017:KSN393017 LCI393017:LCJ393017 LME393017:LMF393017 LWA393017:LWB393017 MFW393017:MFX393017 MPS393017:MPT393017 MZO393017:MZP393017 NJK393017:NJL393017 NTG393017:NTH393017 ODC393017:ODD393017 OMY393017:OMZ393017 OWU393017:OWV393017 PGQ393017:PGR393017 PQM393017:PQN393017 QAI393017:QAJ393017 QKE393017:QKF393017 QUA393017:QUB393017 RDW393017:RDX393017 RNS393017:RNT393017 RXO393017:RXP393017 SHK393017:SHL393017 SRG393017:SRH393017 TBC393017:TBD393017 TKY393017:TKZ393017 TUU393017:TUV393017 UEQ393017:UER393017 UOM393017:UON393017 UYI393017:UYJ393017 VIE393017:VIF393017 VSA393017:VSB393017 WBW393017:WBX393017 WLS393017:WLT393017 WVO393017:WVP393017 D458574:E458574 JC458553:JD458553 SY458553:SZ458553 ACU458553:ACV458553 AMQ458553:AMR458553 AWM458553:AWN458553 BGI458553:BGJ458553 BQE458553:BQF458553 CAA458553:CAB458553 CJW458553:CJX458553 CTS458553:CTT458553 DDO458553:DDP458553 DNK458553:DNL458553 DXG458553:DXH458553 EHC458553:EHD458553 EQY458553:EQZ458553 FAU458553:FAV458553 FKQ458553:FKR458553 FUM458553:FUN458553 GEI458553:GEJ458553 GOE458553:GOF458553 GYA458553:GYB458553 HHW458553:HHX458553 HRS458553:HRT458553 IBO458553:IBP458553 ILK458553:ILL458553 IVG458553:IVH458553 JFC458553:JFD458553 JOY458553:JOZ458553 JYU458553:JYV458553 KIQ458553:KIR458553 KSM458553:KSN458553 LCI458553:LCJ458553 LME458553:LMF458553 LWA458553:LWB458553 MFW458553:MFX458553 MPS458553:MPT458553 MZO458553:MZP458553 NJK458553:NJL458553 NTG458553:NTH458553 ODC458553:ODD458553 OMY458553:OMZ458553 OWU458553:OWV458553 PGQ458553:PGR458553 PQM458553:PQN458553 QAI458553:QAJ458553 QKE458553:QKF458553 QUA458553:QUB458553 RDW458553:RDX458553 RNS458553:RNT458553 RXO458553:RXP458553 SHK458553:SHL458553 SRG458553:SRH458553 TBC458553:TBD458553 TKY458553:TKZ458553 TUU458553:TUV458553 UEQ458553:UER458553 UOM458553:UON458553 UYI458553:UYJ458553 VIE458553:VIF458553 VSA458553:VSB458553 WBW458553:WBX458553 WLS458553:WLT458553 WVO458553:WVP458553 D524110:E524110 JC524089:JD524089 SY524089:SZ524089 ACU524089:ACV524089 AMQ524089:AMR524089 AWM524089:AWN524089 BGI524089:BGJ524089 BQE524089:BQF524089 CAA524089:CAB524089 CJW524089:CJX524089 CTS524089:CTT524089 DDO524089:DDP524089 DNK524089:DNL524089 DXG524089:DXH524089 EHC524089:EHD524089 EQY524089:EQZ524089 FAU524089:FAV524089 FKQ524089:FKR524089 FUM524089:FUN524089 GEI524089:GEJ524089 GOE524089:GOF524089 GYA524089:GYB524089 HHW524089:HHX524089 HRS524089:HRT524089 IBO524089:IBP524089 ILK524089:ILL524089 IVG524089:IVH524089 JFC524089:JFD524089 JOY524089:JOZ524089 JYU524089:JYV524089 KIQ524089:KIR524089 KSM524089:KSN524089 LCI524089:LCJ524089 LME524089:LMF524089 LWA524089:LWB524089 MFW524089:MFX524089 MPS524089:MPT524089 MZO524089:MZP524089 NJK524089:NJL524089 NTG524089:NTH524089 ODC524089:ODD524089 OMY524089:OMZ524089 OWU524089:OWV524089 PGQ524089:PGR524089 PQM524089:PQN524089 QAI524089:QAJ524089 QKE524089:QKF524089 QUA524089:QUB524089 RDW524089:RDX524089 RNS524089:RNT524089 RXO524089:RXP524089 SHK524089:SHL524089 SRG524089:SRH524089 TBC524089:TBD524089 TKY524089:TKZ524089 TUU524089:TUV524089 UEQ524089:UER524089 UOM524089:UON524089 UYI524089:UYJ524089 VIE524089:VIF524089 VSA524089:VSB524089 WBW524089:WBX524089 WLS524089:WLT524089 WVO524089:WVP524089 D589646:E589646 JC589625:JD589625 SY589625:SZ589625 ACU589625:ACV589625 AMQ589625:AMR589625 AWM589625:AWN589625 BGI589625:BGJ589625 BQE589625:BQF589625 CAA589625:CAB589625 CJW589625:CJX589625 CTS589625:CTT589625 DDO589625:DDP589625 DNK589625:DNL589625 DXG589625:DXH589625 EHC589625:EHD589625 EQY589625:EQZ589625 FAU589625:FAV589625 FKQ589625:FKR589625 FUM589625:FUN589625 GEI589625:GEJ589625 GOE589625:GOF589625 GYA589625:GYB589625 HHW589625:HHX589625 HRS589625:HRT589625 IBO589625:IBP589625 ILK589625:ILL589625 IVG589625:IVH589625 JFC589625:JFD589625 JOY589625:JOZ589625 JYU589625:JYV589625 KIQ589625:KIR589625 KSM589625:KSN589625 LCI589625:LCJ589625 LME589625:LMF589625 LWA589625:LWB589625 MFW589625:MFX589625 MPS589625:MPT589625 MZO589625:MZP589625 NJK589625:NJL589625 NTG589625:NTH589625 ODC589625:ODD589625 OMY589625:OMZ589625 OWU589625:OWV589625 PGQ589625:PGR589625 PQM589625:PQN589625 QAI589625:QAJ589625 QKE589625:QKF589625 QUA589625:QUB589625 RDW589625:RDX589625 RNS589625:RNT589625 RXO589625:RXP589625 SHK589625:SHL589625 SRG589625:SRH589625 TBC589625:TBD589625 TKY589625:TKZ589625 TUU589625:TUV589625 UEQ589625:UER589625 UOM589625:UON589625 UYI589625:UYJ589625 VIE589625:VIF589625 VSA589625:VSB589625 WBW589625:WBX589625 WLS589625:WLT589625 WVO589625:WVP589625 D655182:E655182 JC655161:JD655161 SY655161:SZ655161 ACU655161:ACV655161 AMQ655161:AMR655161 AWM655161:AWN655161 BGI655161:BGJ655161 BQE655161:BQF655161 CAA655161:CAB655161 CJW655161:CJX655161 CTS655161:CTT655161 DDO655161:DDP655161 DNK655161:DNL655161 DXG655161:DXH655161 EHC655161:EHD655161 EQY655161:EQZ655161 FAU655161:FAV655161 FKQ655161:FKR655161 FUM655161:FUN655161 GEI655161:GEJ655161 GOE655161:GOF655161 GYA655161:GYB655161 HHW655161:HHX655161 HRS655161:HRT655161 IBO655161:IBP655161 ILK655161:ILL655161 IVG655161:IVH655161 JFC655161:JFD655161 JOY655161:JOZ655161 JYU655161:JYV655161 KIQ655161:KIR655161 KSM655161:KSN655161 LCI655161:LCJ655161 LME655161:LMF655161 LWA655161:LWB655161 MFW655161:MFX655161 MPS655161:MPT655161 MZO655161:MZP655161 NJK655161:NJL655161 NTG655161:NTH655161 ODC655161:ODD655161 OMY655161:OMZ655161 OWU655161:OWV655161 PGQ655161:PGR655161 PQM655161:PQN655161 QAI655161:QAJ655161 QKE655161:QKF655161 QUA655161:QUB655161 RDW655161:RDX655161 RNS655161:RNT655161 RXO655161:RXP655161 SHK655161:SHL655161 SRG655161:SRH655161 TBC655161:TBD655161 TKY655161:TKZ655161 TUU655161:TUV655161 UEQ655161:UER655161 UOM655161:UON655161 UYI655161:UYJ655161 VIE655161:VIF655161 VSA655161:VSB655161 WBW655161:WBX655161 WLS655161:WLT655161 WVO655161:WVP655161 D720718:E720718 JC720697:JD720697 SY720697:SZ720697 ACU720697:ACV720697 AMQ720697:AMR720697 AWM720697:AWN720697 BGI720697:BGJ720697 BQE720697:BQF720697 CAA720697:CAB720697 CJW720697:CJX720697 CTS720697:CTT720697 DDO720697:DDP720697 DNK720697:DNL720697 DXG720697:DXH720697 EHC720697:EHD720697 EQY720697:EQZ720697 FAU720697:FAV720697 FKQ720697:FKR720697 FUM720697:FUN720697 GEI720697:GEJ720697 GOE720697:GOF720697 GYA720697:GYB720697 HHW720697:HHX720697 HRS720697:HRT720697 IBO720697:IBP720697 ILK720697:ILL720697 IVG720697:IVH720697 JFC720697:JFD720697 JOY720697:JOZ720697 JYU720697:JYV720697 KIQ720697:KIR720697 KSM720697:KSN720697 LCI720697:LCJ720697 LME720697:LMF720697 LWA720697:LWB720697 MFW720697:MFX720697 MPS720697:MPT720697 MZO720697:MZP720697 NJK720697:NJL720697 NTG720697:NTH720697 ODC720697:ODD720697 OMY720697:OMZ720697 OWU720697:OWV720697 PGQ720697:PGR720697 PQM720697:PQN720697 QAI720697:QAJ720697 QKE720697:QKF720697 QUA720697:QUB720697 RDW720697:RDX720697 RNS720697:RNT720697 RXO720697:RXP720697 SHK720697:SHL720697 SRG720697:SRH720697 TBC720697:TBD720697 TKY720697:TKZ720697 TUU720697:TUV720697 UEQ720697:UER720697 UOM720697:UON720697 UYI720697:UYJ720697 VIE720697:VIF720697 VSA720697:VSB720697 WBW720697:WBX720697 WLS720697:WLT720697 WVO720697:WVP720697 D786254:E786254 JC786233:JD786233 SY786233:SZ786233 ACU786233:ACV786233 AMQ786233:AMR786233 AWM786233:AWN786233 BGI786233:BGJ786233 BQE786233:BQF786233 CAA786233:CAB786233 CJW786233:CJX786233 CTS786233:CTT786233 DDO786233:DDP786233 DNK786233:DNL786233 DXG786233:DXH786233 EHC786233:EHD786233 EQY786233:EQZ786233 FAU786233:FAV786233 FKQ786233:FKR786233 FUM786233:FUN786233 GEI786233:GEJ786233 GOE786233:GOF786233 GYA786233:GYB786233 HHW786233:HHX786233 HRS786233:HRT786233 IBO786233:IBP786233 ILK786233:ILL786233 IVG786233:IVH786233 JFC786233:JFD786233 JOY786233:JOZ786233 JYU786233:JYV786233 KIQ786233:KIR786233 KSM786233:KSN786233 LCI786233:LCJ786233 LME786233:LMF786233 LWA786233:LWB786233 MFW786233:MFX786233 MPS786233:MPT786233 MZO786233:MZP786233 NJK786233:NJL786233 NTG786233:NTH786233 ODC786233:ODD786233 OMY786233:OMZ786233 OWU786233:OWV786233 PGQ786233:PGR786233 PQM786233:PQN786233 QAI786233:QAJ786233 QKE786233:QKF786233 QUA786233:QUB786233 RDW786233:RDX786233 RNS786233:RNT786233 RXO786233:RXP786233 SHK786233:SHL786233 SRG786233:SRH786233 TBC786233:TBD786233 TKY786233:TKZ786233 TUU786233:TUV786233 UEQ786233:UER786233 UOM786233:UON786233 UYI786233:UYJ786233 VIE786233:VIF786233 VSA786233:VSB786233 WBW786233:WBX786233 WLS786233:WLT786233 WVO786233:WVP786233 D851790:E851790 JC851769:JD851769 SY851769:SZ851769 ACU851769:ACV851769 AMQ851769:AMR851769 AWM851769:AWN851769 BGI851769:BGJ851769 BQE851769:BQF851769 CAA851769:CAB851769 CJW851769:CJX851769 CTS851769:CTT851769 DDO851769:DDP851769 DNK851769:DNL851769 DXG851769:DXH851769 EHC851769:EHD851769 EQY851769:EQZ851769 FAU851769:FAV851769 FKQ851769:FKR851769 FUM851769:FUN851769 GEI851769:GEJ851769 GOE851769:GOF851769 GYA851769:GYB851769 HHW851769:HHX851769 HRS851769:HRT851769 IBO851769:IBP851769 ILK851769:ILL851769 IVG851769:IVH851769 JFC851769:JFD851769 JOY851769:JOZ851769 JYU851769:JYV851769 KIQ851769:KIR851769 KSM851769:KSN851769 LCI851769:LCJ851769 LME851769:LMF851769 LWA851769:LWB851769 MFW851769:MFX851769 MPS851769:MPT851769 MZO851769:MZP851769 NJK851769:NJL851769 NTG851769:NTH851769 ODC851769:ODD851769 OMY851769:OMZ851769 OWU851769:OWV851769 PGQ851769:PGR851769 PQM851769:PQN851769 QAI851769:QAJ851769 QKE851769:QKF851769 QUA851769:QUB851769 RDW851769:RDX851769 RNS851769:RNT851769 RXO851769:RXP851769 SHK851769:SHL851769 SRG851769:SRH851769 TBC851769:TBD851769 TKY851769:TKZ851769 TUU851769:TUV851769 UEQ851769:UER851769 UOM851769:UON851769 UYI851769:UYJ851769 VIE851769:VIF851769 VSA851769:VSB851769 WBW851769:WBX851769 WLS851769:WLT851769 WVO851769:WVP851769 D917326:E917326 JC917305:JD917305 SY917305:SZ917305 ACU917305:ACV917305 AMQ917305:AMR917305 AWM917305:AWN917305 BGI917305:BGJ917305 BQE917305:BQF917305 CAA917305:CAB917305 CJW917305:CJX917305 CTS917305:CTT917305 DDO917305:DDP917305 DNK917305:DNL917305 DXG917305:DXH917305 EHC917305:EHD917305 EQY917305:EQZ917305 FAU917305:FAV917305 FKQ917305:FKR917305 FUM917305:FUN917305 GEI917305:GEJ917305 GOE917305:GOF917305 GYA917305:GYB917305 HHW917305:HHX917305 HRS917305:HRT917305 IBO917305:IBP917305 ILK917305:ILL917305 IVG917305:IVH917305 JFC917305:JFD917305 JOY917305:JOZ917305 JYU917305:JYV917305 KIQ917305:KIR917305 KSM917305:KSN917305 LCI917305:LCJ917305 LME917305:LMF917305 LWA917305:LWB917305 MFW917305:MFX917305 MPS917305:MPT917305 MZO917305:MZP917305 NJK917305:NJL917305 NTG917305:NTH917305 ODC917305:ODD917305 OMY917305:OMZ917305 OWU917305:OWV917305 PGQ917305:PGR917305 PQM917305:PQN917305 QAI917305:QAJ917305 QKE917305:QKF917305 QUA917305:QUB917305 RDW917305:RDX917305 RNS917305:RNT917305 RXO917305:RXP917305 SHK917305:SHL917305 SRG917305:SRH917305 TBC917305:TBD917305 TKY917305:TKZ917305 TUU917305:TUV917305 UEQ917305:UER917305 UOM917305:UON917305 UYI917305:UYJ917305 VIE917305:VIF917305 VSA917305:VSB917305 WBW917305:WBX917305 WLS917305:WLT917305 WVO917305:WVP917305 D982862:E982862 JC982841:JD982841 SY982841:SZ982841 ACU982841:ACV982841 AMQ982841:AMR982841 AWM982841:AWN982841 BGI982841:BGJ982841 BQE982841:BQF982841 CAA982841:CAB982841 CJW982841:CJX982841 CTS982841:CTT982841 DDO982841:DDP982841 DNK982841:DNL982841 DXG982841:DXH982841 EHC982841:EHD982841 EQY982841:EQZ982841 FAU982841:FAV982841 FKQ982841:FKR982841 FUM982841:FUN982841 GEI982841:GEJ982841 GOE982841:GOF982841 GYA982841:GYB982841 HHW982841:HHX982841 HRS982841:HRT982841 IBO982841:IBP982841 ILK982841:ILL982841 IVG982841:IVH982841 JFC982841:JFD982841 JOY982841:JOZ982841 JYU982841:JYV982841 KIQ982841:KIR982841 KSM982841:KSN982841 LCI982841:LCJ982841 LME982841:LMF982841 LWA982841:LWB982841 MFW982841:MFX982841 MPS982841:MPT982841 MZO982841:MZP982841 NJK982841:NJL982841 NTG982841:NTH982841 ODC982841:ODD982841 OMY982841:OMZ982841 OWU982841:OWV982841 PGQ982841:PGR982841 PQM982841:PQN982841 QAI982841:QAJ982841 QKE982841:QKF982841 QUA982841:QUB982841 RDW982841:RDX982841 RNS982841:RNT982841 RXO982841:RXP982841 SHK982841:SHL982841 SRG982841:SRH982841 TBC982841:TBD982841 TKY982841:TKZ982841 TUU982841:TUV982841 UEQ982841:UER982841 UOM982841:UON982841 UYI982841:UYJ982841 VIE982841:VIF982841 VSA982841:VSB982841 WBW982841:WBX982841 WLS982841:WLT982841 WVO982841:WVP982841">
      <formula1>"1,0"</formula1>
    </dataValidation>
    <dataValidation type="list" allowBlank="1" showInputMessage="1" showErrorMessage="1" sqref="C65358 JB65337 SX65337 ACT65337 AMP65337 AWL65337 BGH65337 BQD65337 BZZ65337 CJV65337 CTR65337 DDN65337 DNJ65337 DXF65337 EHB65337 EQX65337 FAT65337 FKP65337 FUL65337 GEH65337 GOD65337 GXZ65337 HHV65337 HRR65337 IBN65337 ILJ65337 IVF65337 JFB65337 JOX65337 JYT65337 KIP65337 KSL65337 LCH65337 LMD65337 LVZ65337 MFV65337 MPR65337 MZN65337 NJJ65337 NTF65337 ODB65337 OMX65337 OWT65337 PGP65337 PQL65337 QAH65337 QKD65337 QTZ65337 RDV65337 RNR65337 RXN65337 SHJ65337 SRF65337 TBB65337 TKX65337 TUT65337 UEP65337 UOL65337 UYH65337 VID65337 VRZ65337 WBV65337 WLR65337 WVN65337 C130894 JB130873 SX130873 ACT130873 AMP130873 AWL130873 BGH130873 BQD130873 BZZ130873 CJV130873 CTR130873 DDN130873 DNJ130873 DXF130873 EHB130873 EQX130873 FAT130873 FKP130873 FUL130873 GEH130873 GOD130873 GXZ130873 HHV130873 HRR130873 IBN130873 ILJ130873 IVF130873 JFB130873 JOX130873 JYT130873 KIP130873 KSL130873 LCH130873 LMD130873 LVZ130873 MFV130873 MPR130873 MZN130873 NJJ130873 NTF130873 ODB130873 OMX130873 OWT130873 PGP130873 PQL130873 QAH130873 QKD130873 QTZ130873 RDV130873 RNR130873 RXN130873 SHJ130873 SRF130873 TBB130873 TKX130873 TUT130873 UEP130873 UOL130873 UYH130873 VID130873 VRZ130873 WBV130873 WLR130873 WVN130873 C196430 JB196409 SX196409 ACT196409 AMP196409 AWL196409 BGH196409 BQD196409 BZZ196409 CJV196409 CTR196409 DDN196409 DNJ196409 DXF196409 EHB196409 EQX196409 FAT196409 FKP196409 FUL196409 GEH196409 GOD196409 GXZ196409 HHV196409 HRR196409 IBN196409 ILJ196409 IVF196409 JFB196409 JOX196409 JYT196409 KIP196409 KSL196409 LCH196409 LMD196409 LVZ196409 MFV196409 MPR196409 MZN196409 NJJ196409 NTF196409 ODB196409 OMX196409 OWT196409 PGP196409 PQL196409 QAH196409 QKD196409 QTZ196409 RDV196409 RNR196409 RXN196409 SHJ196409 SRF196409 TBB196409 TKX196409 TUT196409 UEP196409 UOL196409 UYH196409 VID196409 VRZ196409 WBV196409 WLR196409 WVN196409 C261966 JB261945 SX261945 ACT261945 AMP261945 AWL261945 BGH261945 BQD261945 BZZ261945 CJV261945 CTR261945 DDN261945 DNJ261945 DXF261945 EHB261945 EQX261945 FAT261945 FKP261945 FUL261945 GEH261945 GOD261945 GXZ261945 HHV261945 HRR261945 IBN261945 ILJ261945 IVF261945 JFB261945 JOX261945 JYT261945 KIP261945 KSL261945 LCH261945 LMD261945 LVZ261945 MFV261945 MPR261945 MZN261945 NJJ261945 NTF261945 ODB261945 OMX261945 OWT261945 PGP261945 PQL261945 QAH261945 QKD261945 QTZ261945 RDV261945 RNR261945 RXN261945 SHJ261945 SRF261945 TBB261945 TKX261945 TUT261945 UEP261945 UOL261945 UYH261945 VID261945 VRZ261945 WBV261945 WLR261945 WVN261945 C327502 JB327481 SX327481 ACT327481 AMP327481 AWL327481 BGH327481 BQD327481 BZZ327481 CJV327481 CTR327481 DDN327481 DNJ327481 DXF327481 EHB327481 EQX327481 FAT327481 FKP327481 FUL327481 GEH327481 GOD327481 GXZ327481 HHV327481 HRR327481 IBN327481 ILJ327481 IVF327481 JFB327481 JOX327481 JYT327481 KIP327481 KSL327481 LCH327481 LMD327481 LVZ327481 MFV327481 MPR327481 MZN327481 NJJ327481 NTF327481 ODB327481 OMX327481 OWT327481 PGP327481 PQL327481 QAH327481 QKD327481 QTZ327481 RDV327481 RNR327481 RXN327481 SHJ327481 SRF327481 TBB327481 TKX327481 TUT327481 UEP327481 UOL327481 UYH327481 VID327481 VRZ327481 WBV327481 WLR327481 WVN327481 C393038 JB393017 SX393017 ACT393017 AMP393017 AWL393017 BGH393017 BQD393017 BZZ393017 CJV393017 CTR393017 DDN393017 DNJ393017 DXF393017 EHB393017 EQX393017 FAT393017 FKP393017 FUL393017 GEH393017 GOD393017 GXZ393017 HHV393017 HRR393017 IBN393017 ILJ393017 IVF393017 JFB393017 JOX393017 JYT393017 KIP393017 KSL393017 LCH393017 LMD393017 LVZ393017 MFV393017 MPR393017 MZN393017 NJJ393017 NTF393017 ODB393017 OMX393017 OWT393017 PGP393017 PQL393017 QAH393017 QKD393017 QTZ393017 RDV393017 RNR393017 RXN393017 SHJ393017 SRF393017 TBB393017 TKX393017 TUT393017 UEP393017 UOL393017 UYH393017 VID393017 VRZ393017 WBV393017 WLR393017 WVN393017 C458574 JB458553 SX458553 ACT458553 AMP458553 AWL458553 BGH458553 BQD458553 BZZ458553 CJV458553 CTR458553 DDN458553 DNJ458553 DXF458553 EHB458553 EQX458553 FAT458553 FKP458553 FUL458553 GEH458553 GOD458553 GXZ458553 HHV458553 HRR458553 IBN458553 ILJ458553 IVF458553 JFB458553 JOX458553 JYT458553 KIP458553 KSL458553 LCH458553 LMD458553 LVZ458553 MFV458553 MPR458553 MZN458553 NJJ458553 NTF458553 ODB458553 OMX458553 OWT458553 PGP458553 PQL458553 QAH458553 QKD458553 QTZ458553 RDV458553 RNR458553 RXN458553 SHJ458553 SRF458553 TBB458553 TKX458553 TUT458553 UEP458553 UOL458553 UYH458553 VID458553 VRZ458553 WBV458553 WLR458553 WVN458553 C524110 JB524089 SX524089 ACT524089 AMP524089 AWL524089 BGH524089 BQD524089 BZZ524089 CJV524089 CTR524089 DDN524089 DNJ524089 DXF524089 EHB524089 EQX524089 FAT524089 FKP524089 FUL524089 GEH524089 GOD524089 GXZ524089 HHV524089 HRR524089 IBN524089 ILJ524089 IVF524089 JFB524089 JOX524089 JYT524089 KIP524089 KSL524089 LCH524089 LMD524089 LVZ524089 MFV524089 MPR524089 MZN524089 NJJ524089 NTF524089 ODB524089 OMX524089 OWT524089 PGP524089 PQL524089 QAH524089 QKD524089 QTZ524089 RDV524089 RNR524089 RXN524089 SHJ524089 SRF524089 TBB524089 TKX524089 TUT524089 UEP524089 UOL524089 UYH524089 VID524089 VRZ524089 WBV524089 WLR524089 WVN524089 C589646 JB589625 SX589625 ACT589625 AMP589625 AWL589625 BGH589625 BQD589625 BZZ589625 CJV589625 CTR589625 DDN589625 DNJ589625 DXF589625 EHB589625 EQX589625 FAT589625 FKP589625 FUL589625 GEH589625 GOD589625 GXZ589625 HHV589625 HRR589625 IBN589625 ILJ589625 IVF589625 JFB589625 JOX589625 JYT589625 KIP589625 KSL589625 LCH589625 LMD589625 LVZ589625 MFV589625 MPR589625 MZN589625 NJJ589625 NTF589625 ODB589625 OMX589625 OWT589625 PGP589625 PQL589625 QAH589625 QKD589625 QTZ589625 RDV589625 RNR589625 RXN589625 SHJ589625 SRF589625 TBB589625 TKX589625 TUT589625 UEP589625 UOL589625 UYH589625 VID589625 VRZ589625 WBV589625 WLR589625 WVN589625 C655182 JB655161 SX655161 ACT655161 AMP655161 AWL655161 BGH655161 BQD655161 BZZ655161 CJV655161 CTR655161 DDN655161 DNJ655161 DXF655161 EHB655161 EQX655161 FAT655161 FKP655161 FUL655161 GEH655161 GOD655161 GXZ655161 HHV655161 HRR655161 IBN655161 ILJ655161 IVF655161 JFB655161 JOX655161 JYT655161 KIP655161 KSL655161 LCH655161 LMD655161 LVZ655161 MFV655161 MPR655161 MZN655161 NJJ655161 NTF655161 ODB655161 OMX655161 OWT655161 PGP655161 PQL655161 QAH655161 QKD655161 QTZ655161 RDV655161 RNR655161 RXN655161 SHJ655161 SRF655161 TBB655161 TKX655161 TUT655161 UEP655161 UOL655161 UYH655161 VID655161 VRZ655161 WBV655161 WLR655161 WVN655161 C720718 JB720697 SX720697 ACT720697 AMP720697 AWL720697 BGH720697 BQD720697 BZZ720697 CJV720697 CTR720697 DDN720697 DNJ720697 DXF720697 EHB720697 EQX720697 FAT720697 FKP720697 FUL720697 GEH720697 GOD720697 GXZ720697 HHV720697 HRR720697 IBN720697 ILJ720697 IVF720697 JFB720697 JOX720697 JYT720697 KIP720697 KSL720697 LCH720697 LMD720697 LVZ720697 MFV720697 MPR720697 MZN720697 NJJ720697 NTF720697 ODB720697 OMX720697 OWT720697 PGP720697 PQL720697 QAH720697 QKD720697 QTZ720697 RDV720697 RNR720697 RXN720697 SHJ720697 SRF720697 TBB720697 TKX720697 TUT720697 UEP720697 UOL720697 UYH720697 VID720697 VRZ720697 WBV720697 WLR720697 WVN720697 C786254 JB786233 SX786233 ACT786233 AMP786233 AWL786233 BGH786233 BQD786233 BZZ786233 CJV786233 CTR786233 DDN786233 DNJ786233 DXF786233 EHB786233 EQX786233 FAT786233 FKP786233 FUL786233 GEH786233 GOD786233 GXZ786233 HHV786233 HRR786233 IBN786233 ILJ786233 IVF786233 JFB786233 JOX786233 JYT786233 KIP786233 KSL786233 LCH786233 LMD786233 LVZ786233 MFV786233 MPR786233 MZN786233 NJJ786233 NTF786233 ODB786233 OMX786233 OWT786233 PGP786233 PQL786233 QAH786233 QKD786233 QTZ786233 RDV786233 RNR786233 RXN786233 SHJ786233 SRF786233 TBB786233 TKX786233 TUT786233 UEP786233 UOL786233 UYH786233 VID786233 VRZ786233 WBV786233 WLR786233 WVN786233 C851790 JB851769 SX851769 ACT851769 AMP851769 AWL851769 BGH851769 BQD851769 BZZ851769 CJV851769 CTR851769 DDN851769 DNJ851769 DXF851769 EHB851769 EQX851769 FAT851769 FKP851769 FUL851769 GEH851769 GOD851769 GXZ851769 HHV851769 HRR851769 IBN851769 ILJ851769 IVF851769 JFB851769 JOX851769 JYT851769 KIP851769 KSL851769 LCH851769 LMD851769 LVZ851769 MFV851769 MPR851769 MZN851769 NJJ851769 NTF851769 ODB851769 OMX851769 OWT851769 PGP851769 PQL851769 QAH851769 QKD851769 QTZ851769 RDV851769 RNR851769 RXN851769 SHJ851769 SRF851769 TBB851769 TKX851769 TUT851769 UEP851769 UOL851769 UYH851769 VID851769 VRZ851769 WBV851769 WLR851769 WVN851769 C917326 JB917305 SX917305 ACT917305 AMP917305 AWL917305 BGH917305 BQD917305 BZZ917305 CJV917305 CTR917305 DDN917305 DNJ917305 DXF917305 EHB917305 EQX917305 FAT917305 FKP917305 FUL917305 GEH917305 GOD917305 GXZ917305 HHV917305 HRR917305 IBN917305 ILJ917305 IVF917305 JFB917305 JOX917305 JYT917305 KIP917305 KSL917305 LCH917305 LMD917305 LVZ917305 MFV917305 MPR917305 MZN917305 NJJ917305 NTF917305 ODB917305 OMX917305 OWT917305 PGP917305 PQL917305 QAH917305 QKD917305 QTZ917305 RDV917305 RNR917305 RXN917305 SHJ917305 SRF917305 TBB917305 TKX917305 TUT917305 UEP917305 UOL917305 UYH917305 VID917305 VRZ917305 WBV917305 WLR917305 WVN917305 C982862 JB982841 SX982841 ACT982841 AMP982841 AWL982841 BGH982841 BQD982841 BZZ982841 CJV982841 CTR982841 DDN982841 DNJ982841 DXF982841 EHB982841 EQX982841 FAT982841 FKP982841 FUL982841 GEH982841 GOD982841 GXZ982841 HHV982841 HRR982841 IBN982841 ILJ982841 IVF982841 JFB982841 JOX982841 JYT982841 KIP982841 KSL982841 LCH982841 LMD982841 LVZ982841 MFV982841 MPR982841 MZN982841 NJJ982841 NTF982841 ODB982841 OMX982841 OWT982841 PGP982841 PQL982841 QAH982841 QKD982841 QTZ982841 RDV982841 RNR982841 RXN982841 SHJ982841 SRF982841 TBB982841 TKX982841 TUT982841 UEP982841 UOL982841 UYH982841 VID982841 VRZ982841 WBV982841 WLR982841 WVN982841">
      <formula1>"1,0,2"</formula1>
    </dataValidation>
    <dataValidation type="list" allowBlank="1" showInputMessage="1" showErrorMessage="1" sqref="P15">
      <formula1>"一圈一个,一层一个"</formula1>
    </dataValidation>
    <dataValidation type="list" allowBlank="1" showInputMessage="1" showErrorMessage="1" sqref="O15">
      <formula1>"是,否"</formula1>
    </dataValidation>
    <dataValidation type="list" allowBlank="1" showInputMessage="1" showErrorMessage="1" sqref="Q19:Q20">
      <formula1>"间歇,连续"</formula1>
    </dataValidation>
    <dataValidation type="list" allowBlank="1" showInputMessage="1" showErrorMessage="1" sqref="C23">
      <formula1>"裸膜,裸膜+CCS,裸膜+PCS,裸膜+CCS+PCS"</formula1>
    </dataValidation>
    <dataValidation type="list" allowBlank="1" showInputMessage="1" showErrorMessage="1" sqref="C25">
      <formula1>"CCS(氧化铝),CCS(勃姆石)"</formula1>
    </dataValidation>
  </dataValidations>
  <hyperlinks>
    <hyperlink ref="P8" location="机械件数据库!A1" display="机械件数据库"/>
    <hyperlink ref="P10" location="模切尺寸!A1" display="模切尺寸"/>
    <hyperlink ref="P11" location="Overhang!A1" display="Overhang"/>
    <hyperlink ref="P12" location="BOM!A1" display="BOM"/>
    <hyperlink ref="P7" location="材料数据库!A1" display="材料数据库"/>
    <hyperlink ref="P13" location="极耳错位!A1" display="极耳错位"/>
  </hyperlinks>
  <pageMargins left="0.75" right="0.75" top="1" bottom="1" header="0.5" footer="0.5"/>
  <pageSetup paperSize="9" orientation="portrait" r:id="rId1"/>
  <headerFooter alignWithMargins="0"/>
  <drawing r:id="rId2"/>
  <legacyDrawing r:id="rId3"/>
  <extLst>
    <ext xmlns:x14="http://schemas.microsoft.com/office/spreadsheetml/2009/9/main" uri="{CCE6A557-97BC-4b89-ADB6-D9C93CAAB3DF}">
      <x14:dataValidations xmlns:xm="http://schemas.microsoft.com/office/excel/2006/main" count="6">
        <x14:dataValidation type="list" allowBlank="1" showInputMessage="1" showErrorMessage="1">
          <x14:formula1>
            <xm:f>材料数据库!$C$94:$C$99</xm:f>
          </x14:formula1>
          <xm:sqref>D19</xm:sqref>
        </x14:dataValidation>
        <x14:dataValidation type="list" allowBlank="1" showInputMessage="1" showErrorMessage="1">
          <x14:formula1>
            <xm:f>材料数据库!$C$100:$C$107</xm:f>
          </x14:formula1>
          <xm:sqref>D21</xm:sqref>
        </x14:dataValidation>
        <x14:dataValidation type="list" allowBlank="1" showInputMessage="1" showErrorMessage="1">
          <x14:formula1>
            <xm:f>材料数据库!$D$6:$D$18</xm:f>
          </x14:formula1>
          <xm:sqref>C19</xm:sqref>
        </x14:dataValidation>
        <x14:dataValidation type="list" allowBlank="1" showInputMessage="1" showErrorMessage="1">
          <x14:formula1>
            <xm:f>材料数据库!$D$25:$D$37</xm:f>
          </x14:formula1>
          <xm:sqref>C20</xm:sqref>
        </x14:dataValidation>
        <x14:dataValidation type="list" allowBlank="1" showInputMessage="1" showErrorMessage="1">
          <x14:formula1>
            <xm:f>材料数据库!$C$45:$C$67</xm:f>
          </x14:formula1>
          <xm:sqref>C24</xm:sqref>
        </x14:dataValidation>
        <x14:dataValidation type="list" allowBlank="1" showInputMessage="1" showErrorMessage="1">
          <x14:formula1>
            <xm:f>材料数据库!$C$74:$C$88</xm:f>
          </x14:formula1>
          <xm:sqref>I34</xm:sqref>
        </x14:dataValidation>
      </x14:dataValidations>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AA186"/>
  <sheetViews>
    <sheetView topLeftCell="A67" zoomScaleNormal="100" workbookViewId="0">
      <selection activeCell="J140" sqref="J140"/>
    </sheetView>
  </sheetViews>
  <sheetFormatPr defaultColWidth="9" defaultRowHeight="12" customHeight="1"/>
  <cols>
    <col min="1" max="1" width="1.125" style="875" customWidth="1" collapsed="1"/>
    <col min="2" max="2" width="7.75" style="875" customWidth="1" collapsed="1"/>
    <col min="3" max="3" width="13.625" style="875" customWidth="1" collapsed="1"/>
    <col min="4" max="4" width="15.875" style="875" customWidth="1" collapsed="1"/>
    <col min="5" max="5" width="12.375" style="875" customWidth="1" collapsed="1"/>
    <col min="6" max="6" width="14.125" style="875" customWidth="1" collapsed="1"/>
    <col min="7" max="7" width="12.25" style="875" customWidth="1" collapsed="1"/>
    <col min="8" max="15" width="11.5" style="875" customWidth="1" collapsed="1"/>
    <col min="16" max="16" width="11.75" style="875" customWidth="1" collapsed="1"/>
    <col min="17" max="17" width="11.5" style="875" customWidth="1" collapsed="1"/>
    <col min="18" max="18" width="12" style="875" customWidth="1" collapsed="1"/>
    <col min="19" max="19" width="13.25" style="875" customWidth="1" collapsed="1"/>
    <col min="20" max="20" width="12.5" style="875" customWidth="1" collapsed="1"/>
    <col min="21" max="21" width="13.375" style="875" customWidth="1" collapsed="1"/>
    <col min="22" max="22" width="10.875" style="875" customWidth="1" collapsed="1"/>
    <col min="23" max="24" width="9" style="875" collapsed="1"/>
    <col min="25" max="25" width="9" style="875"/>
    <col min="26" max="26" width="9" style="875" collapsed="1"/>
    <col min="27" max="27" width="9" style="875"/>
    <col min="28" max="16384" width="9" style="875" collapsed="1"/>
  </cols>
  <sheetData>
    <row r="2" spans="2:22" ht="22.5" customHeight="1" thickBot="1">
      <c r="B2" s="872" t="s">
        <v>259</v>
      </c>
      <c r="C2" s="873"/>
      <c r="D2" s="873"/>
      <c r="E2" s="873"/>
      <c r="F2" s="873"/>
      <c r="G2" s="873"/>
      <c r="H2" s="873"/>
      <c r="I2" s="873"/>
      <c r="J2" s="454" t="s">
        <v>441</v>
      </c>
      <c r="K2" s="873"/>
      <c r="L2" s="874" t="s">
        <v>706</v>
      </c>
      <c r="M2" s="873"/>
      <c r="N2" s="873"/>
      <c r="O2" s="873"/>
      <c r="P2" s="873"/>
      <c r="Q2" s="873"/>
    </row>
    <row r="3" spans="2:22" ht="14.25" customHeight="1" thickTop="1">
      <c r="B3" s="876" t="s">
        <v>134</v>
      </c>
      <c r="D3" s="750" t="s">
        <v>735</v>
      </c>
      <c r="E3" s="732"/>
    </row>
    <row r="4" spans="2:22" ht="12" customHeight="1">
      <c r="C4" s="877"/>
      <c r="D4" s="877"/>
      <c r="E4" s="877"/>
      <c r="F4" s="877"/>
      <c r="G4" s="877"/>
      <c r="H4" s="877"/>
      <c r="I4" s="877"/>
      <c r="J4" s="877"/>
      <c r="K4" s="877"/>
      <c r="L4" s="877"/>
      <c r="M4" s="877"/>
      <c r="N4" s="877"/>
      <c r="O4" s="877"/>
      <c r="P4" s="877"/>
      <c r="Q4" s="877"/>
      <c r="R4" s="878"/>
      <c r="S4" s="878"/>
      <c r="T4" s="878"/>
    </row>
    <row r="5" spans="2:22" ht="48" customHeight="1">
      <c r="B5" s="879" t="s">
        <v>576</v>
      </c>
      <c r="C5" s="1011" t="s">
        <v>944</v>
      </c>
      <c r="D5" s="879" t="s">
        <v>590</v>
      </c>
      <c r="E5" s="879" t="s">
        <v>718</v>
      </c>
      <c r="F5" s="723" t="s">
        <v>883</v>
      </c>
      <c r="G5" s="723" t="s">
        <v>884</v>
      </c>
      <c r="H5" s="723" t="s">
        <v>638</v>
      </c>
      <c r="I5" s="725" t="s">
        <v>577</v>
      </c>
      <c r="J5" s="725" t="s">
        <v>705</v>
      </c>
      <c r="K5" s="725" t="s">
        <v>578</v>
      </c>
      <c r="L5" s="725" t="s">
        <v>933</v>
      </c>
      <c r="M5" s="725" t="s">
        <v>579</v>
      </c>
      <c r="N5" s="725" t="s">
        <v>580</v>
      </c>
      <c r="O5" s="880" t="s">
        <v>581</v>
      </c>
      <c r="P5" s="881" t="s">
        <v>724</v>
      </c>
      <c r="Q5" s="1005" t="s">
        <v>709</v>
      </c>
      <c r="R5" s="1192" t="s">
        <v>945</v>
      </c>
      <c r="S5" s="1193"/>
      <c r="T5" s="1187" t="s">
        <v>946</v>
      </c>
      <c r="U5" s="1188"/>
      <c r="V5" s="1043" t="s">
        <v>929</v>
      </c>
    </row>
    <row r="6" spans="2:22" ht="12" customHeight="1">
      <c r="B6" s="882">
        <v>1</v>
      </c>
      <c r="C6" s="883"/>
      <c r="D6" s="883"/>
      <c r="E6" s="883"/>
      <c r="F6" s="1020"/>
      <c r="G6" s="1020"/>
      <c r="H6" s="1020"/>
      <c r="I6" s="885"/>
      <c r="J6" s="1020"/>
      <c r="K6" s="885"/>
      <c r="L6" s="885"/>
      <c r="M6" s="885"/>
      <c r="N6" s="885"/>
      <c r="O6" s="885"/>
      <c r="P6" s="1020"/>
      <c r="Q6" s="886"/>
      <c r="R6" s="1179"/>
      <c r="S6" s="1180"/>
      <c r="T6" s="1189"/>
      <c r="U6" s="1189"/>
      <c r="V6" s="1044"/>
    </row>
    <row r="7" spans="2:22" ht="12" customHeight="1">
      <c r="B7" s="882">
        <v>2</v>
      </c>
      <c r="C7" s="883"/>
      <c r="D7" s="883"/>
      <c r="E7" s="883"/>
      <c r="F7" s="1020"/>
      <c r="G7" s="1020"/>
      <c r="H7" s="1020"/>
      <c r="I7" s="885"/>
      <c r="J7" s="1020"/>
      <c r="K7" s="885"/>
      <c r="L7" s="885"/>
      <c r="M7" s="885"/>
      <c r="N7" s="885"/>
      <c r="O7" s="885"/>
      <c r="P7" s="1020"/>
      <c r="Q7" s="886"/>
      <c r="R7" s="1179"/>
      <c r="S7" s="1180"/>
      <c r="T7" s="1189"/>
      <c r="U7" s="1189"/>
      <c r="V7" s="1044"/>
    </row>
    <row r="8" spans="2:22" ht="12" customHeight="1">
      <c r="B8" s="882">
        <v>3</v>
      </c>
      <c r="C8" s="883"/>
      <c r="D8" s="884"/>
      <c r="E8" s="884"/>
      <c r="F8" s="1020"/>
      <c r="G8" s="1020"/>
      <c r="H8" s="1020"/>
      <c r="I8" s="885"/>
      <c r="J8" s="1020"/>
      <c r="K8" s="885"/>
      <c r="L8" s="885"/>
      <c r="M8" s="885"/>
      <c r="N8" s="885"/>
      <c r="O8" s="885"/>
      <c r="P8" s="1020"/>
      <c r="Q8" s="886"/>
      <c r="R8" s="1179"/>
      <c r="S8" s="1180"/>
      <c r="T8" s="1189"/>
      <c r="U8" s="1189"/>
      <c r="V8" s="1044"/>
    </row>
    <row r="9" spans="2:22" ht="12" customHeight="1">
      <c r="B9" s="882">
        <v>4</v>
      </c>
      <c r="C9" s="883"/>
      <c r="D9" s="883"/>
      <c r="E9" s="883"/>
      <c r="F9" s="1020"/>
      <c r="G9" s="1020"/>
      <c r="H9" s="1020"/>
      <c r="I9" s="885"/>
      <c r="J9" s="1020"/>
      <c r="K9" s="885"/>
      <c r="L9" s="885"/>
      <c r="M9" s="885"/>
      <c r="N9" s="885"/>
      <c r="O9" s="885"/>
      <c r="P9" s="1020"/>
      <c r="Q9" s="886"/>
      <c r="R9" s="1179"/>
      <c r="S9" s="1180"/>
      <c r="T9" s="1189"/>
      <c r="U9" s="1189"/>
      <c r="V9" s="1044"/>
    </row>
    <row r="10" spans="2:22" ht="12" customHeight="1">
      <c r="B10" s="882">
        <v>5</v>
      </c>
      <c r="C10" s="883"/>
      <c r="D10" s="883"/>
      <c r="E10" s="883"/>
      <c r="F10" s="1020"/>
      <c r="G10" s="1020"/>
      <c r="H10" s="1020"/>
      <c r="I10" s="885"/>
      <c r="J10" s="1020"/>
      <c r="K10" s="885"/>
      <c r="L10" s="885"/>
      <c r="M10" s="885"/>
      <c r="N10" s="885"/>
      <c r="O10" s="885"/>
      <c r="P10" s="1020"/>
      <c r="Q10" s="886"/>
      <c r="R10" s="1179"/>
      <c r="S10" s="1180"/>
      <c r="T10" s="1189"/>
      <c r="U10" s="1189"/>
      <c r="V10" s="1044"/>
    </row>
    <row r="11" spans="2:22" ht="12" customHeight="1">
      <c r="B11" s="882">
        <v>6</v>
      </c>
      <c r="C11" s="883"/>
      <c r="D11" s="883"/>
      <c r="E11" s="883"/>
      <c r="F11" s="1020"/>
      <c r="G11" s="1020"/>
      <c r="H11" s="1020"/>
      <c r="I11" s="885"/>
      <c r="J11" s="1020"/>
      <c r="K11" s="885"/>
      <c r="L11" s="885"/>
      <c r="M11" s="885"/>
      <c r="N11" s="885"/>
      <c r="O11" s="885"/>
      <c r="P11" s="1020"/>
      <c r="Q11" s="883"/>
      <c r="R11" s="1179"/>
      <c r="S11" s="1180"/>
      <c r="T11" s="1189"/>
      <c r="U11" s="1189"/>
      <c r="V11" s="1044"/>
    </row>
    <row r="12" spans="2:22" ht="12" customHeight="1">
      <c r="B12" s="882">
        <v>7</v>
      </c>
      <c r="C12" s="883"/>
      <c r="D12" s="883"/>
      <c r="E12" s="883"/>
      <c r="F12" s="1020"/>
      <c r="G12" s="1020"/>
      <c r="H12" s="1020"/>
      <c r="I12" s="885"/>
      <c r="J12" s="1020"/>
      <c r="K12" s="885"/>
      <c r="L12" s="885"/>
      <c r="M12" s="885"/>
      <c r="N12" s="885"/>
      <c r="O12" s="885"/>
      <c r="P12" s="1020"/>
      <c r="Q12" s="883"/>
      <c r="R12" s="1179"/>
      <c r="S12" s="1180"/>
      <c r="T12" s="1189"/>
      <c r="U12" s="1189"/>
      <c r="V12" s="1044"/>
    </row>
    <row r="13" spans="2:22" ht="12" customHeight="1">
      <c r="B13" s="882">
        <v>8</v>
      </c>
      <c r="C13" s="883"/>
      <c r="D13" s="883"/>
      <c r="E13" s="883"/>
      <c r="F13" s="1020"/>
      <c r="G13" s="1020"/>
      <c r="H13" s="1020"/>
      <c r="I13" s="885"/>
      <c r="J13" s="1020"/>
      <c r="K13" s="885"/>
      <c r="L13" s="885"/>
      <c r="M13" s="885"/>
      <c r="N13" s="885"/>
      <c r="O13" s="885"/>
      <c r="P13" s="1020"/>
      <c r="Q13" s="883"/>
      <c r="R13" s="1179"/>
      <c r="S13" s="1180"/>
      <c r="T13" s="1189"/>
      <c r="U13" s="1189"/>
      <c r="V13" s="1044"/>
    </row>
    <row r="14" spans="2:22" ht="12" customHeight="1">
      <c r="B14" s="882">
        <v>9</v>
      </c>
      <c r="C14" s="883"/>
      <c r="D14" s="883"/>
      <c r="E14" s="883"/>
      <c r="F14" s="1020"/>
      <c r="G14" s="1020"/>
      <c r="H14" s="1020"/>
      <c r="I14" s="885"/>
      <c r="J14" s="1020"/>
      <c r="K14" s="885"/>
      <c r="L14" s="885"/>
      <c r="M14" s="885"/>
      <c r="N14" s="885"/>
      <c r="O14" s="885"/>
      <c r="P14" s="1020"/>
      <c r="Q14" s="883"/>
      <c r="R14" s="1179"/>
      <c r="S14" s="1180"/>
      <c r="T14" s="1189"/>
      <c r="U14" s="1189"/>
      <c r="V14" s="1044"/>
    </row>
    <row r="15" spans="2:22" ht="12" customHeight="1">
      <c r="B15" s="882">
        <v>10</v>
      </c>
      <c r="C15" s="883"/>
      <c r="D15" s="883"/>
      <c r="E15" s="883"/>
      <c r="F15" s="1020"/>
      <c r="G15" s="1020"/>
      <c r="H15" s="1020"/>
      <c r="I15" s="885"/>
      <c r="J15" s="1020"/>
      <c r="K15" s="885"/>
      <c r="L15" s="885"/>
      <c r="M15" s="885"/>
      <c r="N15" s="885"/>
      <c r="O15" s="885"/>
      <c r="P15" s="1020"/>
      <c r="Q15" s="883"/>
      <c r="R15" s="1179"/>
      <c r="S15" s="1180"/>
      <c r="T15" s="1189"/>
      <c r="U15" s="1189"/>
      <c r="V15" s="1044"/>
    </row>
    <row r="16" spans="2:22" ht="12" customHeight="1">
      <c r="B16" s="882">
        <v>11</v>
      </c>
      <c r="C16" s="883"/>
      <c r="D16" s="883"/>
      <c r="E16" s="883"/>
      <c r="F16" s="1020"/>
      <c r="G16" s="1020"/>
      <c r="H16" s="1020"/>
      <c r="I16" s="885"/>
      <c r="J16" s="1020"/>
      <c r="K16" s="885"/>
      <c r="L16" s="885"/>
      <c r="M16" s="885"/>
      <c r="N16" s="885"/>
      <c r="O16" s="885"/>
      <c r="P16" s="1020"/>
      <c r="Q16" s="883"/>
      <c r="R16" s="1179"/>
      <c r="S16" s="1180"/>
      <c r="T16" s="1189"/>
      <c r="U16" s="1189"/>
      <c r="V16" s="1044"/>
    </row>
    <row r="17" spans="2:22" ht="12" customHeight="1">
      <c r="B17" s="882">
        <v>12</v>
      </c>
      <c r="C17" s="883"/>
      <c r="D17" s="883"/>
      <c r="E17" s="883"/>
      <c r="F17" s="1020"/>
      <c r="G17" s="1020"/>
      <c r="H17" s="1020"/>
      <c r="I17" s="885"/>
      <c r="J17" s="1020"/>
      <c r="K17" s="885"/>
      <c r="L17" s="885"/>
      <c r="M17" s="885"/>
      <c r="N17" s="885"/>
      <c r="O17" s="885"/>
      <c r="P17" s="1020"/>
      <c r="Q17" s="883"/>
      <c r="R17" s="1179"/>
      <c r="S17" s="1180"/>
      <c r="T17" s="1189"/>
      <c r="U17" s="1189"/>
      <c r="V17" s="1044"/>
    </row>
    <row r="18" spans="2:22" ht="12" customHeight="1">
      <c r="B18" s="882">
        <v>13</v>
      </c>
      <c r="C18" s="883"/>
      <c r="D18" s="883"/>
      <c r="E18" s="883"/>
      <c r="F18" s="1020"/>
      <c r="G18" s="1020"/>
      <c r="H18" s="1020"/>
      <c r="I18" s="885"/>
      <c r="J18" s="1020"/>
      <c r="K18" s="885"/>
      <c r="L18" s="885"/>
      <c r="M18" s="885"/>
      <c r="N18" s="885"/>
      <c r="O18" s="885"/>
      <c r="P18" s="1020"/>
      <c r="Q18" s="883"/>
      <c r="R18" s="1179"/>
      <c r="S18" s="1180"/>
      <c r="T18" s="1189"/>
      <c r="U18" s="1189"/>
      <c r="V18" s="1044"/>
    </row>
    <row r="19" spans="2:22" ht="12" customHeight="1">
      <c r="B19" s="875" t="s">
        <v>645</v>
      </c>
    </row>
    <row r="20" spans="2:22" ht="12" customHeight="1">
      <c r="B20" s="452" t="s">
        <v>708</v>
      </c>
    </row>
    <row r="21" spans="2:22" ht="18" customHeight="1" thickBot="1">
      <c r="B21" s="872" t="s">
        <v>260</v>
      </c>
      <c r="C21" s="873"/>
      <c r="D21" s="887"/>
      <c r="E21" s="873"/>
      <c r="F21" s="887"/>
      <c r="G21" s="873"/>
      <c r="H21" s="873"/>
      <c r="I21" s="873"/>
      <c r="J21" s="873"/>
      <c r="K21" s="873"/>
      <c r="L21" s="873"/>
      <c r="M21" s="873"/>
      <c r="N21" s="888"/>
      <c r="O21" s="873"/>
      <c r="P21" s="873"/>
      <c r="Q21" s="873"/>
    </row>
    <row r="22" spans="2:22" ht="13.5" customHeight="1" thickTop="1">
      <c r="B22" s="876" t="s">
        <v>134</v>
      </c>
      <c r="D22" s="750" t="s">
        <v>735</v>
      </c>
      <c r="N22" s="876"/>
    </row>
    <row r="24" spans="2:22" ht="45" customHeight="1">
      <c r="B24" s="879" t="s">
        <v>576</v>
      </c>
      <c r="C24" s="1011" t="s">
        <v>943</v>
      </c>
      <c r="D24" s="879" t="s">
        <v>591</v>
      </c>
      <c r="E24" s="879" t="s">
        <v>718</v>
      </c>
      <c r="F24" s="99" t="s">
        <v>885</v>
      </c>
      <c r="G24" s="99" t="s">
        <v>886</v>
      </c>
      <c r="H24" s="99" t="s">
        <v>638</v>
      </c>
      <c r="I24" s="725" t="s">
        <v>582</v>
      </c>
      <c r="J24" s="725" t="s">
        <v>705</v>
      </c>
      <c r="K24" s="725" t="s">
        <v>578</v>
      </c>
      <c r="L24" s="725" t="s">
        <v>932</v>
      </c>
      <c r="M24" s="725" t="s">
        <v>579</v>
      </c>
      <c r="N24" s="725" t="s">
        <v>580</v>
      </c>
      <c r="O24" s="725" t="s">
        <v>581</v>
      </c>
      <c r="P24" s="889" t="s">
        <v>724</v>
      </c>
      <c r="Q24" s="1005" t="s">
        <v>597</v>
      </c>
      <c r="R24" s="1190" t="s">
        <v>948</v>
      </c>
      <c r="S24" s="1191"/>
      <c r="T24" s="1187" t="s">
        <v>947</v>
      </c>
      <c r="U24" s="1188"/>
      <c r="V24" s="1043" t="s">
        <v>929</v>
      </c>
    </row>
    <row r="25" spans="2:22" ht="12" customHeight="1">
      <c r="B25" s="890">
        <v>1</v>
      </c>
      <c r="C25" s="883"/>
      <c r="D25" s="998"/>
      <c r="E25" s="884"/>
      <c r="F25" s="1020"/>
      <c r="G25" s="1020"/>
      <c r="H25" s="1020"/>
      <c r="I25" s="885"/>
      <c r="J25" s="1020"/>
      <c r="K25" s="885"/>
      <c r="L25" s="885"/>
      <c r="M25" s="885"/>
      <c r="N25" s="885"/>
      <c r="O25" s="885"/>
      <c r="P25" s="1020"/>
      <c r="Q25" s="886"/>
      <c r="R25" s="1173"/>
      <c r="S25" s="1174"/>
      <c r="T25" s="1189"/>
      <c r="U25" s="1189"/>
      <c r="V25" s="1044"/>
    </row>
    <row r="26" spans="2:22" ht="12" customHeight="1">
      <c r="B26" s="890">
        <v>2</v>
      </c>
      <c r="C26" s="883"/>
      <c r="D26" s="884"/>
      <c r="E26" s="884"/>
      <c r="F26" s="1020"/>
      <c r="G26" s="1020"/>
      <c r="H26" s="1020"/>
      <c r="I26" s="885"/>
      <c r="J26" s="1020"/>
      <c r="K26" s="885"/>
      <c r="L26" s="885"/>
      <c r="M26" s="885"/>
      <c r="N26" s="885"/>
      <c r="O26" s="885"/>
      <c r="P26" s="1020"/>
      <c r="Q26" s="886"/>
      <c r="R26" s="1173"/>
      <c r="S26" s="1174"/>
      <c r="T26" s="1189"/>
      <c r="U26" s="1189"/>
      <c r="V26" s="1044"/>
    </row>
    <row r="27" spans="2:22" ht="12" customHeight="1">
      <c r="B27" s="890">
        <v>3</v>
      </c>
      <c r="C27" s="883"/>
      <c r="D27" s="884"/>
      <c r="E27" s="884"/>
      <c r="F27" s="1020"/>
      <c r="G27" s="1020"/>
      <c r="H27" s="1020"/>
      <c r="I27" s="885"/>
      <c r="J27" s="1020"/>
      <c r="K27" s="885"/>
      <c r="L27" s="885"/>
      <c r="M27" s="885"/>
      <c r="N27" s="885"/>
      <c r="O27" s="885"/>
      <c r="P27" s="1020"/>
      <c r="Q27" s="886"/>
      <c r="R27" s="1173"/>
      <c r="S27" s="1174"/>
      <c r="T27" s="1189"/>
      <c r="U27" s="1189"/>
      <c r="V27" s="1044"/>
    </row>
    <row r="28" spans="2:22" ht="12" customHeight="1">
      <c r="B28" s="890">
        <v>4</v>
      </c>
      <c r="C28" s="883"/>
      <c r="D28" s="884"/>
      <c r="E28" s="884"/>
      <c r="F28" s="1020"/>
      <c r="G28" s="1020"/>
      <c r="H28" s="1020"/>
      <c r="I28" s="885"/>
      <c r="J28" s="1020"/>
      <c r="K28" s="885"/>
      <c r="L28" s="885"/>
      <c r="M28" s="885"/>
      <c r="N28" s="885"/>
      <c r="O28" s="885"/>
      <c r="P28" s="1020"/>
      <c r="Q28" s="883"/>
      <c r="R28" s="1173"/>
      <c r="S28" s="1174"/>
      <c r="T28" s="1189"/>
      <c r="U28" s="1189"/>
      <c r="V28" s="1044"/>
    </row>
    <row r="29" spans="2:22" ht="12" customHeight="1">
      <c r="B29" s="890">
        <v>5</v>
      </c>
      <c r="C29" s="883"/>
      <c r="D29" s="883"/>
      <c r="E29" s="884"/>
      <c r="F29" s="1020"/>
      <c r="G29" s="1020"/>
      <c r="H29" s="1020"/>
      <c r="I29" s="885"/>
      <c r="J29" s="1020"/>
      <c r="K29" s="885"/>
      <c r="L29" s="885"/>
      <c r="M29" s="885"/>
      <c r="N29" s="885"/>
      <c r="O29" s="885"/>
      <c r="P29" s="1020"/>
      <c r="Q29" s="883"/>
      <c r="R29" s="1173"/>
      <c r="S29" s="1174"/>
      <c r="T29" s="1189"/>
      <c r="U29" s="1189"/>
      <c r="V29" s="1044"/>
    </row>
    <row r="30" spans="2:22" ht="12" customHeight="1">
      <c r="B30" s="890">
        <v>6</v>
      </c>
      <c r="C30" s="883"/>
      <c r="D30" s="883"/>
      <c r="E30" s="884"/>
      <c r="F30" s="1020"/>
      <c r="G30" s="1020"/>
      <c r="H30" s="1020"/>
      <c r="I30" s="885"/>
      <c r="J30" s="1020"/>
      <c r="K30" s="885"/>
      <c r="L30" s="885"/>
      <c r="M30" s="885"/>
      <c r="N30" s="885"/>
      <c r="O30" s="885"/>
      <c r="P30" s="1020"/>
      <c r="Q30" s="883"/>
      <c r="R30" s="1173"/>
      <c r="S30" s="1174"/>
      <c r="T30" s="1189"/>
      <c r="U30" s="1189"/>
      <c r="V30" s="1044"/>
    </row>
    <row r="31" spans="2:22" ht="12" customHeight="1">
      <c r="B31" s="890">
        <v>7</v>
      </c>
      <c r="C31" s="883"/>
      <c r="D31" s="884"/>
      <c r="E31" s="884"/>
      <c r="F31" s="1020"/>
      <c r="G31" s="1020"/>
      <c r="H31" s="1020"/>
      <c r="I31" s="885"/>
      <c r="J31" s="1020"/>
      <c r="K31" s="885"/>
      <c r="L31" s="885"/>
      <c r="M31" s="885"/>
      <c r="N31" s="885"/>
      <c r="O31" s="885"/>
      <c r="P31" s="1020"/>
      <c r="Q31" s="883"/>
      <c r="R31" s="1173"/>
      <c r="S31" s="1174"/>
      <c r="T31" s="1189"/>
      <c r="U31" s="1189"/>
      <c r="V31" s="1044"/>
    </row>
    <row r="32" spans="2:22" ht="12" customHeight="1">
      <c r="B32" s="890">
        <v>8</v>
      </c>
      <c r="C32" s="883"/>
      <c r="D32" s="884"/>
      <c r="E32" s="884"/>
      <c r="F32" s="1020"/>
      <c r="G32" s="1020"/>
      <c r="H32" s="1020"/>
      <c r="I32" s="885"/>
      <c r="J32" s="1020"/>
      <c r="K32" s="885"/>
      <c r="L32" s="885"/>
      <c r="M32" s="885"/>
      <c r="N32" s="885"/>
      <c r="O32" s="885"/>
      <c r="P32" s="1020"/>
      <c r="Q32" s="883"/>
      <c r="R32" s="1173"/>
      <c r="S32" s="1174"/>
      <c r="T32" s="1189"/>
      <c r="U32" s="1189"/>
      <c r="V32" s="1044"/>
    </row>
    <row r="33" spans="2:22" ht="12" customHeight="1">
      <c r="B33" s="890">
        <v>9</v>
      </c>
      <c r="C33" s="883"/>
      <c r="D33" s="884"/>
      <c r="E33" s="884"/>
      <c r="F33" s="1020"/>
      <c r="G33" s="1020"/>
      <c r="H33" s="1020"/>
      <c r="I33" s="885"/>
      <c r="J33" s="1020"/>
      <c r="K33" s="885"/>
      <c r="L33" s="885"/>
      <c r="M33" s="885"/>
      <c r="N33" s="885"/>
      <c r="O33" s="885"/>
      <c r="P33" s="1020"/>
      <c r="Q33" s="883"/>
      <c r="R33" s="1173"/>
      <c r="S33" s="1174"/>
      <c r="T33" s="1189"/>
      <c r="U33" s="1189"/>
      <c r="V33" s="1044"/>
    </row>
    <row r="34" spans="2:22" ht="12" customHeight="1">
      <c r="B34" s="890">
        <v>10</v>
      </c>
      <c r="C34" s="883"/>
      <c r="D34" s="884"/>
      <c r="E34" s="884"/>
      <c r="F34" s="1020"/>
      <c r="G34" s="1020"/>
      <c r="H34" s="1020"/>
      <c r="I34" s="885"/>
      <c r="J34" s="1020"/>
      <c r="K34" s="885"/>
      <c r="L34" s="885"/>
      <c r="M34" s="885"/>
      <c r="N34" s="885"/>
      <c r="O34" s="885"/>
      <c r="P34" s="1020"/>
      <c r="Q34" s="883"/>
      <c r="R34" s="1173"/>
      <c r="S34" s="1174"/>
      <c r="T34" s="1189"/>
      <c r="U34" s="1189"/>
      <c r="V34" s="1044"/>
    </row>
    <row r="35" spans="2:22" ht="12" customHeight="1">
      <c r="B35" s="890">
        <v>11</v>
      </c>
      <c r="C35" s="883"/>
      <c r="D35" s="884"/>
      <c r="E35" s="884"/>
      <c r="F35" s="1020"/>
      <c r="G35" s="1020"/>
      <c r="H35" s="1020"/>
      <c r="I35" s="885"/>
      <c r="J35" s="1020"/>
      <c r="K35" s="885"/>
      <c r="L35" s="885"/>
      <c r="M35" s="885"/>
      <c r="N35" s="885"/>
      <c r="O35" s="885"/>
      <c r="P35" s="1020"/>
      <c r="Q35" s="883"/>
      <c r="R35" s="1173"/>
      <c r="S35" s="1174"/>
      <c r="T35" s="1189"/>
      <c r="U35" s="1189"/>
      <c r="V35" s="1044"/>
    </row>
    <row r="36" spans="2:22" ht="12" customHeight="1">
      <c r="B36" s="890">
        <v>12</v>
      </c>
      <c r="C36" s="883"/>
      <c r="D36" s="884"/>
      <c r="E36" s="884"/>
      <c r="F36" s="1020"/>
      <c r="G36" s="1020"/>
      <c r="H36" s="1020"/>
      <c r="I36" s="885"/>
      <c r="J36" s="1020"/>
      <c r="K36" s="885"/>
      <c r="L36" s="885"/>
      <c r="M36" s="885"/>
      <c r="N36" s="885"/>
      <c r="O36" s="885"/>
      <c r="P36" s="1020"/>
      <c r="Q36" s="883"/>
      <c r="R36" s="1173"/>
      <c r="S36" s="1174"/>
      <c r="T36" s="1189"/>
      <c r="U36" s="1189"/>
      <c r="V36" s="1044"/>
    </row>
    <row r="37" spans="2:22" ht="12" customHeight="1">
      <c r="B37" s="890">
        <v>13</v>
      </c>
      <c r="C37" s="883"/>
      <c r="D37" s="884"/>
      <c r="E37" s="884"/>
      <c r="F37" s="1020"/>
      <c r="G37" s="1020"/>
      <c r="H37" s="1020"/>
      <c r="I37" s="885"/>
      <c r="J37" s="1020"/>
      <c r="K37" s="885"/>
      <c r="L37" s="885"/>
      <c r="M37" s="885"/>
      <c r="N37" s="885"/>
      <c r="O37" s="885"/>
      <c r="P37" s="1020"/>
      <c r="Q37" s="883"/>
      <c r="R37" s="1173"/>
      <c r="S37" s="1174"/>
      <c r="T37" s="1189"/>
      <c r="U37" s="1189"/>
      <c r="V37" s="1044"/>
    </row>
    <row r="38" spans="2:22" ht="12" customHeight="1">
      <c r="B38" s="875" t="s">
        <v>644</v>
      </c>
      <c r="L38" s="875" t="s">
        <v>643</v>
      </c>
    </row>
    <row r="39" spans="2:22" ht="10.5" customHeight="1">
      <c r="B39" s="452" t="s">
        <v>708</v>
      </c>
    </row>
    <row r="40" spans="2:22" ht="18" customHeight="1" thickBot="1">
      <c r="B40" s="872" t="s">
        <v>261</v>
      </c>
      <c r="C40" s="888"/>
      <c r="E40" s="873"/>
      <c r="F40" s="873"/>
      <c r="G40" s="873"/>
      <c r="H40" s="873"/>
      <c r="I40" s="873"/>
      <c r="J40" s="873"/>
      <c r="K40" s="873"/>
      <c r="L40" s="873"/>
      <c r="M40" s="873"/>
      <c r="N40" s="873"/>
      <c r="O40" s="873"/>
      <c r="P40" s="873"/>
      <c r="Q40" s="873"/>
    </row>
    <row r="41" spans="2:22" ht="15" customHeight="1" thickTop="1">
      <c r="B41" s="876" t="s">
        <v>737</v>
      </c>
      <c r="C41" s="891"/>
      <c r="D41" s="892"/>
      <c r="E41" s="893"/>
      <c r="F41" s="893"/>
      <c r="G41" s="893"/>
      <c r="H41" s="893"/>
      <c r="I41" s="893"/>
      <c r="J41" s="893"/>
      <c r="K41" s="893"/>
      <c r="L41" s="893"/>
      <c r="M41" s="893"/>
      <c r="N41" s="893"/>
      <c r="O41" s="893"/>
      <c r="P41" s="893"/>
      <c r="Q41" s="893"/>
    </row>
    <row r="43" spans="2:22" ht="12" customHeight="1">
      <c r="B43" s="1194" t="s">
        <v>713</v>
      </c>
      <c r="C43" s="1195" t="s">
        <v>714</v>
      </c>
      <c r="D43" s="1195" t="s">
        <v>730</v>
      </c>
      <c r="E43" s="1185" t="s">
        <v>731</v>
      </c>
      <c r="F43" s="1185" t="s">
        <v>732</v>
      </c>
      <c r="G43" s="894" t="s">
        <v>719</v>
      </c>
      <c r="H43" s="895" t="s">
        <v>583</v>
      </c>
      <c r="I43" s="894" t="s">
        <v>715</v>
      </c>
      <c r="J43" s="896" t="s">
        <v>728</v>
      </c>
      <c r="K43" s="894" t="s">
        <v>583</v>
      </c>
      <c r="L43" s="1181" t="s">
        <v>949</v>
      </c>
      <c r="M43" s="1182"/>
      <c r="N43" s="1185" t="s">
        <v>930</v>
      </c>
    </row>
    <row r="44" spans="2:22" ht="15" customHeight="1">
      <c r="B44" s="1194"/>
      <c r="C44" s="1196"/>
      <c r="D44" s="1196"/>
      <c r="E44" s="1186"/>
      <c r="F44" s="1186"/>
      <c r="G44" s="894" t="s">
        <v>733</v>
      </c>
      <c r="H44" s="897" t="s">
        <v>819</v>
      </c>
      <c r="I44" s="898" t="s">
        <v>717</v>
      </c>
      <c r="J44" s="880" t="s">
        <v>729</v>
      </c>
      <c r="K44" s="899" t="s">
        <v>716</v>
      </c>
      <c r="L44" s="1183"/>
      <c r="M44" s="1184"/>
      <c r="N44" s="1186"/>
    </row>
    <row r="45" spans="2:22" ht="12" customHeight="1">
      <c r="B45" s="900">
        <v>1</v>
      </c>
      <c r="C45" s="900"/>
      <c r="D45" s="901"/>
      <c r="E45" s="902"/>
      <c r="F45" s="902"/>
      <c r="G45" s="1021"/>
      <c r="H45" s="1022"/>
      <c r="I45" s="903"/>
      <c r="J45" s="902"/>
      <c r="K45" s="840">
        <f>H45/1000000*1540.25</f>
        <v>0</v>
      </c>
      <c r="L45" s="1171"/>
      <c r="M45" s="1172"/>
      <c r="N45" s="1044"/>
    </row>
    <row r="46" spans="2:22" ht="12" customHeight="1">
      <c r="B46" s="900">
        <v>2</v>
      </c>
      <c r="C46" s="900"/>
      <c r="D46" s="901"/>
      <c r="E46" s="902"/>
      <c r="F46" s="902"/>
      <c r="G46" s="1021"/>
      <c r="H46" s="1022"/>
      <c r="I46" s="904"/>
      <c r="J46" s="902"/>
      <c r="K46" s="840">
        <f t="shared" ref="K46:K67" si="0">H46/1000000*1540.25</f>
        <v>0</v>
      </c>
      <c r="L46" s="1171"/>
      <c r="M46" s="1172"/>
      <c r="N46" s="1044"/>
    </row>
    <row r="47" spans="2:22" ht="12" customHeight="1">
      <c r="B47" s="900">
        <v>3</v>
      </c>
      <c r="C47" s="900"/>
      <c r="D47" s="901"/>
      <c r="E47" s="902"/>
      <c r="F47" s="902"/>
      <c r="G47" s="1021"/>
      <c r="H47" s="1022"/>
      <c r="I47" s="904"/>
      <c r="J47" s="902"/>
      <c r="K47" s="840">
        <f t="shared" si="0"/>
        <v>0</v>
      </c>
      <c r="L47" s="1171"/>
      <c r="M47" s="1172"/>
      <c r="N47" s="1044"/>
    </row>
    <row r="48" spans="2:22" ht="12" customHeight="1">
      <c r="B48" s="900">
        <v>4</v>
      </c>
      <c r="C48" s="900"/>
      <c r="D48" s="901"/>
      <c r="E48" s="902"/>
      <c r="F48" s="902"/>
      <c r="G48" s="1021"/>
      <c r="H48" s="1022"/>
      <c r="I48" s="904"/>
      <c r="J48" s="902"/>
      <c r="K48" s="840">
        <f t="shared" si="0"/>
        <v>0</v>
      </c>
      <c r="L48" s="1171"/>
      <c r="M48" s="1172"/>
      <c r="N48" s="1044"/>
    </row>
    <row r="49" spans="2:14" ht="12" customHeight="1">
      <c r="B49" s="900">
        <v>5</v>
      </c>
      <c r="C49" s="900"/>
      <c r="D49" s="901"/>
      <c r="E49" s="902"/>
      <c r="F49" s="902"/>
      <c r="G49" s="1021"/>
      <c r="H49" s="1022"/>
      <c r="I49" s="903"/>
      <c r="J49" s="902"/>
      <c r="K49" s="840">
        <f t="shared" si="0"/>
        <v>0</v>
      </c>
      <c r="L49" s="1171"/>
      <c r="M49" s="1172"/>
      <c r="N49" s="1044"/>
    </row>
    <row r="50" spans="2:14" ht="12" customHeight="1">
      <c r="B50" s="900">
        <v>6</v>
      </c>
      <c r="C50" s="900"/>
      <c r="D50" s="901"/>
      <c r="E50" s="902"/>
      <c r="F50" s="902"/>
      <c r="G50" s="1021"/>
      <c r="H50" s="1022"/>
      <c r="I50" s="904"/>
      <c r="J50" s="902"/>
      <c r="K50" s="840">
        <f t="shared" si="0"/>
        <v>0</v>
      </c>
      <c r="L50" s="1171"/>
      <c r="M50" s="1172"/>
      <c r="N50" s="1044"/>
    </row>
    <row r="51" spans="2:14" ht="12" customHeight="1">
      <c r="B51" s="900">
        <v>7</v>
      </c>
      <c r="C51" s="900"/>
      <c r="D51" s="901"/>
      <c r="E51" s="902"/>
      <c r="F51" s="902"/>
      <c r="G51" s="1021"/>
      <c r="H51" s="1022"/>
      <c r="I51" s="904"/>
      <c r="J51" s="902"/>
      <c r="K51" s="840">
        <f t="shared" si="0"/>
        <v>0</v>
      </c>
      <c r="L51" s="1171"/>
      <c r="M51" s="1172"/>
      <c r="N51" s="1044"/>
    </row>
    <row r="52" spans="2:14" ht="12" customHeight="1">
      <c r="B52" s="900">
        <v>8</v>
      </c>
      <c r="C52" s="900"/>
      <c r="D52" s="901"/>
      <c r="E52" s="902"/>
      <c r="F52" s="902"/>
      <c r="G52" s="1021"/>
      <c r="H52" s="1022"/>
      <c r="I52" s="904"/>
      <c r="J52" s="902"/>
      <c r="K52" s="840">
        <f t="shared" si="0"/>
        <v>0</v>
      </c>
      <c r="L52" s="1171"/>
      <c r="M52" s="1172"/>
      <c r="N52" s="1044"/>
    </row>
    <row r="53" spans="2:14" ht="12" customHeight="1">
      <c r="B53" s="900">
        <v>9</v>
      </c>
      <c r="C53" s="900"/>
      <c r="D53" s="901"/>
      <c r="E53" s="902"/>
      <c r="F53" s="902"/>
      <c r="G53" s="1021"/>
      <c r="H53" s="1022"/>
      <c r="I53" s="904"/>
      <c r="J53" s="902"/>
      <c r="K53" s="840">
        <f t="shared" si="0"/>
        <v>0</v>
      </c>
      <c r="L53" s="1171"/>
      <c r="M53" s="1172"/>
      <c r="N53" s="1044"/>
    </row>
    <row r="54" spans="2:14" ht="12" customHeight="1">
      <c r="B54" s="900">
        <v>10</v>
      </c>
      <c r="C54" s="900"/>
      <c r="D54" s="901"/>
      <c r="E54" s="902"/>
      <c r="F54" s="902"/>
      <c r="G54" s="1021"/>
      <c r="H54" s="1022"/>
      <c r="I54" s="904"/>
      <c r="J54" s="902"/>
      <c r="K54" s="840">
        <f t="shared" si="0"/>
        <v>0</v>
      </c>
      <c r="L54" s="1171"/>
      <c r="M54" s="1172"/>
      <c r="N54" s="1044"/>
    </row>
    <row r="55" spans="2:14" ht="12" customHeight="1">
      <c r="B55" s="900">
        <v>11</v>
      </c>
      <c r="C55" s="900"/>
      <c r="D55" s="901"/>
      <c r="E55" s="902"/>
      <c r="F55" s="902"/>
      <c r="G55" s="1021"/>
      <c r="H55" s="1022"/>
      <c r="I55" s="903"/>
      <c r="J55" s="905"/>
      <c r="K55" s="840">
        <f t="shared" si="0"/>
        <v>0</v>
      </c>
      <c r="L55" s="1171"/>
      <c r="M55" s="1172"/>
      <c r="N55" s="1044"/>
    </row>
    <row r="56" spans="2:14" ht="12" customHeight="1">
      <c r="B56" s="900">
        <v>12</v>
      </c>
      <c r="C56" s="900"/>
      <c r="D56" s="901"/>
      <c r="E56" s="902"/>
      <c r="F56" s="902"/>
      <c r="G56" s="1021"/>
      <c r="H56" s="1022"/>
      <c r="I56" s="903"/>
      <c r="J56" s="905"/>
      <c r="K56" s="840">
        <f t="shared" si="0"/>
        <v>0</v>
      </c>
      <c r="L56" s="1171"/>
      <c r="M56" s="1172"/>
      <c r="N56" s="1044"/>
    </row>
    <row r="57" spans="2:14" ht="12" customHeight="1">
      <c r="B57" s="900">
        <v>13</v>
      </c>
      <c r="C57" s="900"/>
      <c r="D57" s="901"/>
      <c r="E57" s="902"/>
      <c r="F57" s="902"/>
      <c r="G57" s="1021"/>
      <c r="H57" s="1022"/>
      <c r="I57" s="904"/>
      <c r="J57" s="902"/>
      <c r="K57" s="840">
        <f t="shared" si="0"/>
        <v>0</v>
      </c>
      <c r="L57" s="1171"/>
      <c r="M57" s="1172"/>
      <c r="N57" s="1044"/>
    </row>
    <row r="58" spans="2:14" ht="12" customHeight="1">
      <c r="B58" s="900">
        <v>14</v>
      </c>
      <c r="C58" s="900"/>
      <c r="D58" s="901"/>
      <c r="E58" s="902"/>
      <c r="F58" s="902"/>
      <c r="G58" s="1021"/>
      <c r="H58" s="1022"/>
      <c r="I58" s="904"/>
      <c r="J58" s="902"/>
      <c r="K58" s="840">
        <f t="shared" si="0"/>
        <v>0</v>
      </c>
      <c r="L58" s="1171"/>
      <c r="M58" s="1172"/>
      <c r="N58" s="1044"/>
    </row>
    <row r="59" spans="2:14" ht="12" customHeight="1">
      <c r="B59" s="900">
        <v>15</v>
      </c>
      <c r="C59" s="900"/>
      <c r="D59" s="906"/>
      <c r="E59" s="902"/>
      <c r="F59" s="902"/>
      <c r="G59" s="1021"/>
      <c r="H59" s="1022"/>
      <c r="I59" s="906"/>
      <c r="J59" s="902"/>
      <c r="K59" s="840">
        <f t="shared" si="0"/>
        <v>0</v>
      </c>
      <c r="L59" s="1171"/>
      <c r="M59" s="1172"/>
      <c r="N59" s="1044"/>
    </row>
    <row r="60" spans="2:14" ht="12" customHeight="1">
      <c r="B60" s="900">
        <v>16</v>
      </c>
      <c r="C60" s="900"/>
      <c r="D60" s="900"/>
      <c r="E60" s="907"/>
      <c r="F60" s="907"/>
      <c r="G60" s="1021"/>
      <c r="H60" s="1022"/>
      <c r="I60" s="906"/>
      <c r="J60" s="907"/>
      <c r="K60" s="840">
        <f t="shared" si="0"/>
        <v>0</v>
      </c>
      <c r="L60" s="1171"/>
      <c r="M60" s="1172"/>
      <c r="N60" s="1044"/>
    </row>
    <row r="61" spans="2:14" ht="12" customHeight="1">
      <c r="B61" s="900">
        <v>17</v>
      </c>
      <c r="C61" s="900"/>
      <c r="D61" s="900"/>
      <c r="E61" s="907"/>
      <c r="F61" s="907"/>
      <c r="G61" s="1021"/>
      <c r="H61" s="1022"/>
      <c r="I61" s="906"/>
      <c r="J61" s="907"/>
      <c r="K61" s="840">
        <f t="shared" si="0"/>
        <v>0</v>
      </c>
      <c r="L61" s="1171"/>
      <c r="M61" s="1172"/>
      <c r="N61" s="1044"/>
    </row>
    <row r="62" spans="2:14" ht="12" customHeight="1">
      <c r="B62" s="900">
        <v>18</v>
      </c>
      <c r="C62" s="900"/>
      <c r="D62" s="900"/>
      <c r="E62" s="907"/>
      <c r="F62" s="907"/>
      <c r="G62" s="1021"/>
      <c r="H62" s="1022"/>
      <c r="I62" s="906"/>
      <c r="J62" s="907"/>
      <c r="K62" s="840">
        <f t="shared" si="0"/>
        <v>0</v>
      </c>
      <c r="L62" s="1171"/>
      <c r="M62" s="1172"/>
      <c r="N62" s="1044"/>
    </row>
    <row r="63" spans="2:14" ht="12" customHeight="1">
      <c r="B63" s="900">
        <v>19</v>
      </c>
      <c r="C63" s="900"/>
      <c r="D63" s="900"/>
      <c r="E63" s="907"/>
      <c r="F63" s="907"/>
      <c r="G63" s="1021"/>
      <c r="H63" s="1022"/>
      <c r="I63" s="906"/>
      <c r="J63" s="907"/>
      <c r="K63" s="840">
        <f t="shared" si="0"/>
        <v>0</v>
      </c>
      <c r="L63" s="1171"/>
      <c r="M63" s="1172"/>
      <c r="N63" s="1044"/>
    </row>
    <row r="64" spans="2:14" ht="12" customHeight="1">
      <c r="B64" s="900">
        <v>20</v>
      </c>
      <c r="C64" s="900"/>
      <c r="D64" s="900"/>
      <c r="E64" s="907"/>
      <c r="F64" s="907"/>
      <c r="G64" s="1021"/>
      <c r="H64" s="1022"/>
      <c r="I64" s="908"/>
      <c r="J64" s="907"/>
      <c r="K64" s="840">
        <f t="shared" si="0"/>
        <v>0</v>
      </c>
      <c r="L64" s="1171"/>
      <c r="M64" s="1172"/>
      <c r="N64" s="1044"/>
    </row>
    <row r="65" spans="2:17" ht="12" customHeight="1">
      <c r="B65" s="900">
        <v>21</v>
      </c>
      <c r="C65" s="900"/>
      <c r="D65" s="900"/>
      <c r="E65" s="907"/>
      <c r="F65" s="907"/>
      <c r="G65" s="1021"/>
      <c r="H65" s="1022"/>
      <c r="I65" s="908"/>
      <c r="J65" s="907"/>
      <c r="K65" s="840">
        <f t="shared" si="0"/>
        <v>0</v>
      </c>
      <c r="L65" s="1171"/>
      <c r="M65" s="1172"/>
      <c r="N65" s="1044"/>
    </row>
    <row r="66" spans="2:17" ht="12" customHeight="1">
      <c r="B66" s="900">
        <v>22</v>
      </c>
      <c r="C66" s="900"/>
      <c r="D66" s="900"/>
      <c r="E66" s="907"/>
      <c r="F66" s="907"/>
      <c r="G66" s="1021"/>
      <c r="H66" s="1022"/>
      <c r="I66" s="908"/>
      <c r="J66" s="907"/>
      <c r="K66" s="840">
        <f t="shared" si="0"/>
        <v>0</v>
      </c>
      <c r="L66" s="1171"/>
      <c r="M66" s="1172"/>
      <c r="N66" s="1044"/>
    </row>
    <row r="67" spans="2:17" ht="12" customHeight="1">
      <c r="B67" s="900">
        <v>23</v>
      </c>
      <c r="C67" s="900"/>
      <c r="D67" s="900"/>
      <c r="E67" s="907"/>
      <c r="F67" s="907"/>
      <c r="G67" s="1021"/>
      <c r="H67" s="1022"/>
      <c r="I67" s="908"/>
      <c r="J67" s="907"/>
      <c r="K67" s="840">
        <f t="shared" si="0"/>
        <v>0</v>
      </c>
      <c r="L67" s="1171"/>
      <c r="M67" s="1172"/>
      <c r="N67" s="1044"/>
    </row>
    <row r="68" spans="2:17" ht="12" customHeight="1">
      <c r="B68" s="452" t="s">
        <v>708</v>
      </c>
    </row>
    <row r="69" spans="2:17" ht="18" customHeight="1" thickBot="1">
      <c r="B69" s="872" t="s">
        <v>739</v>
      </c>
      <c r="C69" s="888"/>
      <c r="E69" s="873"/>
      <c r="F69" s="873"/>
      <c r="G69" s="873"/>
      <c r="H69" s="873"/>
      <c r="I69" s="873"/>
      <c r="J69" s="873"/>
      <c r="K69" s="873"/>
      <c r="L69" s="873"/>
      <c r="M69" s="873"/>
      <c r="N69" s="873"/>
      <c r="O69" s="873"/>
      <c r="P69" s="873"/>
      <c r="Q69" s="873"/>
    </row>
    <row r="70" spans="2:17" ht="15" customHeight="1" thickTop="1">
      <c r="B70" s="876" t="s">
        <v>738</v>
      </c>
      <c r="C70" s="891"/>
      <c r="D70" s="751" t="s">
        <v>735</v>
      </c>
      <c r="E70" s="893"/>
      <c r="F70" s="893"/>
      <c r="G70" s="893"/>
      <c r="H70" s="893"/>
      <c r="I70" s="893"/>
      <c r="J70" s="893"/>
      <c r="K70" s="893"/>
      <c r="L70" s="893"/>
      <c r="M70" s="893"/>
      <c r="N70" s="893"/>
      <c r="O70" s="893"/>
      <c r="P70" s="893"/>
      <c r="Q70" s="893"/>
    </row>
    <row r="72" spans="2:17" ht="12" customHeight="1">
      <c r="B72" s="1194" t="s">
        <v>713</v>
      </c>
      <c r="C72" s="1195" t="s">
        <v>60</v>
      </c>
      <c r="D72" s="1195" t="s">
        <v>718</v>
      </c>
      <c r="E72" s="909" t="s">
        <v>728</v>
      </c>
      <c r="F72" s="1175" t="s">
        <v>947</v>
      </c>
      <c r="G72" s="1176"/>
      <c r="H72" s="1185" t="s">
        <v>930</v>
      </c>
    </row>
    <row r="73" spans="2:17" ht="13.5" customHeight="1">
      <c r="B73" s="1194"/>
      <c r="C73" s="1196"/>
      <c r="D73" s="1196"/>
      <c r="E73" s="880" t="s">
        <v>729</v>
      </c>
      <c r="F73" s="1177"/>
      <c r="G73" s="1178"/>
      <c r="H73" s="1186"/>
    </row>
    <row r="74" spans="2:17" ht="12" customHeight="1">
      <c r="B74" s="900">
        <v>1</v>
      </c>
      <c r="C74" s="900"/>
      <c r="D74" s="901"/>
      <c r="E74" s="902"/>
      <c r="F74" s="1173"/>
      <c r="G74" s="1174"/>
      <c r="H74" s="1044"/>
    </row>
    <row r="75" spans="2:17" ht="12" customHeight="1">
      <c r="B75" s="900">
        <v>2</v>
      </c>
      <c r="C75" s="900"/>
      <c r="D75" s="901"/>
      <c r="E75" s="902"/>
      <c r="F75" s="1173"/>
      <c r="G75" s="1174"/>
      <c r="H75" s="1044"/>
    </row>
    <row r="76" spans="2:17" ht="12" customHeight="1">
      <c r="B76" s="900">
        <v>3</v>
      </c>
      <c r="C76" s="900"/>
      <c r="D76" s="901"/>
      <c r="E76" s="902"/>
      <c r="F76" s="1173"/>
      <c r="G76" s="1174"/>
      <c r="H76" s="1044"/>
    </row>
    <row r="77" spans="2:17" ht="12" customHeight="1">
      <c r="B77" s="900">
        <v>4</v>
      </c>
      <c r="C77" s="900"/>
      <c r="D77" s="901"/>
      <c r="E77" s="902"/>
      <c r="F77" s="1173"/>
      <c r="G77" s="1174"/>
      <c r="H77" s="1044"/>
    </row>
    <row r="78" spans="2:17" ht="12" customHeight="1">
      <c r="B78" s="900">
        <v>5</v>
      </c>
      <c r="C78" s="900"/>
      <c r="D78" s="901"/>
      <c r="E78" s="902"/>
      <c r="F78" s="1173"/>
      <c r="G78" s="1174"/>
      <c r="H78" s="1044"/>
    </row>
    <row r="79" spans="2:17" ht="12" customHeight="1">
      <c r="B79" s="900">
        <v>6</v>
      </c>
      <c r="C79" s="900"/>
      <c r="D79" s="901"/>
      <c r="E79" s="902"/>
      <c r="F79" s="1173"/>
      <c r="G79" s="1174"/>
      <c r="H79" s="1044"/>
    </row>
    <row r="80" spans="2:17" ht="12" customHeight="1">
      <c r="B80" s="900">
        <v>7</v>
      </c>
      <c r="C80" s="900"/>
      <c r="D80" s="901"/>
      <c r="E80" s="902"/>
      <c r="F80" s="1173"/>
      <c r="G80" s="1174"/>
      <c r="H80" s="1044"/>
    </row>
    <row r="81" spans="2:17" ht="12" customHeight="1">
      <c r="B81" s="900">
        <v>8</v>
      </c>
      <c r="C81" s="900"/>
      <c r="D81" s="901"/>
      <c r="E81" s="902"/>
      <c r="F81" s="1173"/>
      <c r="G81" s="1174"/>
      <c r="H81" s="1044"/>
    </row>
    <row r="82" spans="2:17" ht="12" customHeight="1">
      <c r="B82" s="900">
        <v>9</v>
      </c>
      <c r="C82" s="900"/>
      <c r="D82" s="901"/>
      <c r="E82" s="902"/>
      <c r="F82" s="1173"/>
      <c r="G82" s="1174"/>
      <c r="H82" s="1044"/>
    </row>
    <row r="83" spans="2:17" ht="12" customHeight="1">
      <c r="B83" s="900">
        <v>10</v>
      </c>
      <c r="C83" s="900"/>
      <c r="D83" s="901"/>
      <c r="E83" s="902"/>
      <c r="F83" s="1173"/>
      <c r="G83" s="1174"/>
      <c r="H83" s="1044"/>
    </row>
    <row r="84" spans="2:17" ht="12" customHeight="1">
      <c r="B84" s="900">
        <v>11</v>
      </c>
      <c r="C84" s="900"/>
      <c r="D84" s="901"/>
      <c r="E84" s="902"/>
      <c r="F84" s="1173"/>
      <c r="G84" s="1174"/>
      <c r="H84" s="1044"/>
    </row>
    <row r="85" spans="2:17" ht="12" customHeight="1">
      <c r="B85" s="900">
        <v>12</v>
      </c>
      <c r="C85" s="900"/>
      <c r="D85" s="901"/>
      <c r="E85" s="902"/>
      <c r="F85" s="1173"/>
      <c r="G85" s="1174"/>
      <c r="H85" s="1044"/>
    </row>
    <row r="86" spans="2:17" ht="12" customHeight="1">
      <c r="B86" s="900">
        <v>13</v>
      </c>
      <c r="C86" s="900"/>
      <c r="D86" s="901"/>
      <c r="E86" s="902"/>
      <c r="F86" s="1173"/>
      <c r="G86" s="1174"/>
      <c r="H86" s="1044"/>
    </row>
    <row r="87" spans="2:17" ht="12" customHeight="1">
      <c r="B87" s="900">
        <v>14</v>
      </c>
      <c r="C87" s="900"/>
      <c r="D87" s="901"/>
      <c r="E87" s="902"/>
      <c r="F87" s="1173"/>
      <c r="G87" s="1174"/>
      <c r="H87" s="1044"/>
    </row>
    <row r="88" spans="2:17" ht="12" customHeight="1">
      <c r="B88" s="900">
        <v>15</v>
      </c>
      <c r="C88" s="900"/>
      <c r="D88" s="900"/>
      <c r="E88" s="902"/>
      <c r="F88" s="1173"/>
      <c r="G88" s="1174"/>
      <c r="H88" s="1044"/>
    </row>
    <row r="89" spans="2:17" ht="12" customHeight="1">
      <c r="B89" s="452" t="s">
        <v>708</v>
      </c>
    </row>
    <row r="90" spans="2:17" ht="22.5" customHeight="1" thickBot="1">
      <c r="B90" s="872" t="s">
        <v>720</v>
      </c>
      <c r="C90" s="730"/>
      <c r="D90" s="730"/>
      <c r="E90" s="730"/>
      <c r="F90" s="730"/>
      <c r="G90" s="730"/>
      <c r="H90" s="730"/>
      <c r="I90" s="730"/>
      <c r="J90" s="730"/>
      <c r="K90" s="730"/>
      <c r="L90" s="730"/>
      <c r="M90" s="730"/>
      <c r="N90" s="730"/>
      <c r="O90" s="730"/>
      <c r="P90" s="873"/>
      <c r="Q90" s="873"/>
    </row>
    <row r="91" spans="2:17" ht="15" customHeight="1" thickTop="1">
      <c r="B91" s="876" t="s">
        <v>134</v>
      </c>
      <c r="C91" s="733"/>
      <c r="D91" s="732" t="s">
        <v>736</v>
      </c>
      <c r="E91" s="733"/>
      <c r="F91" s="733"/>
      <c r="G91" s="733"/>
      <c r="H91" s="733"/>
      <c r="I91" s="733"/>
      <c r="J91" s="733"/>
      <c r="K91" s="733"/>
      <c r="L91" s="733"/>
      <c r="M91" s="733"/>
      <c r="N91" s="733"/>
      <c r="O91" s="733"/>
      <c r="P91" s="893"/>
      <c r="Q91" s="893"/>
    </row>
    <row r="92" spans="2:17" ht="12" customHeight="1">
      <c r="B92" s="731"/>
      <c r="C92" s="732"/>
      <c r="D92" s="733"/>
      <c r="E92" s="733"/>
      <c r="F92" s="733"/>
      <c r="G92" s="733"/>
      <c r="H92" s="733"/>
      <c r="I92" s="733"/>
      <c r="J92" s="733"/>
      <c r="K92" s="733"/>
      <c r="L92" s="733"/>
      <c r="M92" s="733"/>
      <c r="N92" s="733"/>
      <c r="O92" s="733"/>
    </row>
    <row r="93" spans="2:17" ht="24" customHeight="1">
      <c r="B93" s="725" t="s">
        <v>592</v>
      </c>
      <c r="C93" s="724" t="s">
        <v>710</v>
      </c>
      <c r="D93" s="725" t="s">
        <v>707</v>
      </c>
      <c r="E93" s="725" t="s">
        <v>741</v>
      </c>
      <c r="F93" s="725" t="s">
        <v>740</v>
      </c>
      <c r="G93" s="1190" t="s">
        <v>947</v>
      </c>
      <c r="H93" s="1208"/>
      <c r="I93" s="1042" t="s">
        <v>930</v>
      </c>
    </row>
    <row r="94" spans="2:17" ht="12" customHeight="1">
      <c r="B94" s="1200" t="s">
        <v>711</v>
      </c>
      <c r="C94" s="726"/>
      <c r="D94" s="727"/>
      <c r="E94" s="728"/>
      <c r="F94" s="1203" t="e">
        <f>VLOOKUP(设计主界面!D19,C94:E99,3,FALSE)</f>
        <v>#N/A</v>
      </c>
      <c r="G94" s="1173"/>
      <c r="H94" s="1174"/>
      <c r="I94" s="1044"/>
    </row>
    <row r="95" spans="2:17" ht="12" customHeight="1">
      <c r="B95" s="1201"/>
      <c r="C95" s="726"/>
      <c r="D95" s="727"/>
      <c r="E95" s="728"/>
      <c r="F95" s="1204"/>
      <c r="G95" s="1173"/>
      <c r="H95" s="1174"/>
      <c r="I95" s="1044"/>
    </row>
    <row r="96" spans="2:17" ht="12" customHeight="1">
      <c r="B96" s="1201"/>
      <c r="C96" s="726"/>
      <c r="D96" s="727"/>
      <c r="E96" s="728"/>
      <c r="F96" s="1204"/>
      <c r="G96" s="1173"/>
      <c r="H96" s="1174"/>
      <c r="I96" s="1044"/>
    </row>
    <row r="97" spans="2:17" ht="12" customHeight="1">
      <c r="B97" s="1201"/>
      <c r="C97" s="726"/>
      <c r="D97" s="727"/>
      <c r="E97" s="728"/>
      <c r="F97" s="1204"/>
      <c r="G97" s="1173"/>
      <c r="H97" s="1174"/>
      <c r="I97" s="1044"/>
    </row>
    <row r="98" spans="2:17" ht="12" customHeight="1">
      <c r="B98" s="1201"/>
      <c r="C98" s="726"/>
      <c r="D98" s="727"/>
      <c r="E98" s="728"/>
      <c r="F98" s="1204"/>
      <c r="G98" s="1173"/>
      <c r="H98" s="1174"/>
      <c r="I98" s="1044"/>
    </row>
    <row r="99" spans="2:17" ht="12" customHeight="1">
      <c r="B99" s="1202"/>
      <c r="C99" s="726"/>
      <c r="D99" s="727"/>
      <c r="E99" s="728"/>
      <c r="F99" s="1205"/>
      <c r="G99" s="1173"/>
      <c r="H99" s="1174"/>
      <c r="I99" s="1044"/>
    </row>
    <row r="100" spans="2:17" ht="12" customHeight="1">
      <c r="B100" s="1206" t="s">
        <v>712</v>
      </c>
      <c r="C100" s="726"/>
      <c r="D100" s="727"/>
      <c r="E100" s="729"/>
      <c r="F100" s="1207" t="e">
        <f>VLOOKUP(设计主界面!D21,C100:E107,3,FALSE)</f>
        <v>#N/A</v>
      </c>
      <c r="G100" s="1173"/>
      <c r="H100" s="1174"/>
      <c r="I100" s="1044"/>
    </row>
    <row r="101" spans="2:17" ht="12" customHeight="1">
      <c r="B101" s="1206"/>
      <c r="C101" s="726"/>
      <c r="D101" s="727"/>
      <c r="E101" s="729"/>
      <c r="F101" s="1207"/>
      <c r="G101" s="1173"/>
      <c r="H101" s="1174"/>
      <c r="I101" s="1044"/>
    </row>
    <row r="102" spans="2:17" ht="12" customHeight="1">
      <c r="B102" s="1206"/>
      <c r="C102" s="726"/>
      <c r="D102" s="727"/>
      <c r="E102" s="729"/>
      <c r="F102" s="1207"/>
      <c r="G102" s="1173"/>
      <c r="H102" s="1174"/>
      <c r="I102" s="1044"/>
    </row>
    <row r="103" spans="2:17" ht="12" customHeight="1">
      <c r="B103" s="1206"/>
      <c r="C103" s="726"/>
      <c r="D103" s="727"/>
      <c r="E103" s="729"/>
      <c r="F103" s="1207"/>
      <c r="G103" s="1173"/>
      <c r="H103" s="1174"/>
      <c r="I103" s="1044"/>
    </row>
    <row r="104" spans="2:17" ht="12" customHeight="1">
      <c r="B104" s="1206"/>
      <c r="C104" s="726"/>
      <c r="D104" s="727"/>
      <c r="E104" s="729"/>
      <c r="F104" s="1207"/>
      <c r="G104" s="1173"/>
      <c r="H104" s="1174"/>
      <c r="I104" s="1044"/>
    </row>
    <row r="105" spans="2:17" ht="12" customHeight="1">
      <c r="B105" s="1206"/>
      <c r="C105" s="726"/>
      <c r="D105" s="727"/>
      <c r="E105" s="729"/>
      <c r="F105" s="1207"/>
      <c r="G105" s="1173"/>
      <c r="H105" s="1174"/>
      <c r="I105" s="1044"/>
    </row>
    <row r="106" spans="2:17" ht="12" customHeight="1">
      <c r="B106" s="1206"/>
      <c r="C106" s="726"/>
      <c r="D106" s="727"/>
      <c r="E106" s="729"/>
      <c r="F106" s="1207"/>
      <c r="G106" s="1173"/>
      <c r="H106" s="1174"/>
      <c r="I106" s="1044"/>
    </row>
    <row r="107" spans="2:17" ht="12" customHeight="1">
      <c r="B107" s="1206"/>
      <c r="C107" s="726"/>
      <c r="D107" s="727"/>
      <c r="E107" s="729"/>
      <c r="F107" s="1207"/>
      <c r="G107" s="1173"/>
      <c r="H107" s="1174"/>
      <c r="I107" s="1044"/>
    </row>
    <row r="108" spans="2:17" ht="12" customHeight="1">
      <c r="B108" s="452" t="s">
        <v>708</v>
      </c>
    </row>
    <row r="109" spans="2:17" ht="21" customHeight="1" thickBot="1">
      <c r="B109" s="910" t="s">
        <v>781</v>
      </c>
      <c r="C109" s="888"/>
      <c r="E109" s="873"/>
      <c r="F109" s="873"/>
      <c r="G109" s="873"/>
      <c r="H109" s="873"/>
      <c r="I109" s="873"/>
      <c r="J109" s="873"/>
      <c r="K109" s="873"/>
      <c r="L109" s="873"/>
      <c r="M109" s="873"/>
    </row>
    <row r="110" spans="2:17" ht="15" customHeight="1" thickTop="1">
      <c r="B110" s="911" t="s">
        <v>782</v>
      </c>
      <c r="C110" s="891"/>
      <c r="D110" s="751"/>
      <c r="E110" s="893"/>
      <c r="F110" s="893"/>
      <c r="G110" s="893"/>
      <c r="H110" s="893"/>
      <c r="I110" s="893"/>
      <c r="J110" s="893"/>
      <c r="K110" s="893"/>
      <c r="L110" s="893"/>
      <c r="M110" s="893"/>
      <c r="N110" s="893"/>
      <c r="O110" s="893"/>
      <c r="P110" s="893"/>
      <c r="Q110" s="893"/>
    </row>
    <row r="112" spans="2:17" ht="12" customHeight="1">
      <c r="B112" s="1194" t="s">
        <v>713</v>
      </c>
      <c r="C112" s="1195" t="s">
        <v>783</v>
      </c>
      <c r="D112" s="1195" t="s">
        <v>718</v>
      </c>
      <c r="E112" s="909" t="s">
        <v>728</v>
      </c>
      <c r="F112" s="1175" t="s">
        <v>942</v>
      </c>
      <c r="G112" s="1176"/>
      <c r="H112" s="1185" t="s">
        <v>930</v>
      </c>
    </row>
    <row r="113" spans="2:8" ht="13.5" customHeight="1">
      <c r="B113" s="1194"/>
      <c r="C113" s="1196"/>
      <c r="D113" s="1196"/>
      <c r="E113" s="880" t="s">
        <v>729</v>
      </c>
      <c r="F113" s="1177"/>
      <c r="G113" s="1178"/>
      <c r="H113" s="1186"/>
    </row>
    <row r="114" spans="2:8" ht="12" customHeight="1">
      <c r="B114" s="900">
        <v>1</v>
      </c>
      <c r="C114" s="900"/>
      <c r="D114" s="901"/>
      <c r="E114" s="902"/>
      <c r="F114" s="1173"/>
      <c r="G114" s="1174"/>
      <c r="H114" s="1044"/>
    </row>
    <row r="115" spans="2:8" ht="12" customHeight="1">
      <c r="B115" s="900">
        <v>2</v>
      </c>
      <c r="C115" s="900"/>
      <c r="D115" s="901"/>
      <c r="E115" s="902"/>
      <c r="F115" s="1173"/>
      <c r="G115" s="1174"/>
      <c r="H115" s="1044"/>
    </row>
    <row r="116" spans="2:8" ht="12" customHeight="1">
      <c r="B116" s="900">
        <v>3</v>
      </c>
      <c r="C116" s="900"/>
      <c r="D116" s="901"/>
      <c r="E116" s="902"/>
      <c r="F116" s="1173"/>
      <c r="G116" s="1174"/>
      <c r="H116" s="1044"/>
    </row>
    <row r="117" spans="2:8" ht="12" customHeight="1">
      <c r="B117" s="900">
        <v>4</v>
      </c>
      <c r="C117" s="900"/>
      <c r="D117" s="901"/>
      <c r="E117" s="902"/>
      <c r="F117" s="1173"/>
      <c r="G117" s="1174"/>
      <c r="H117" s="1044"/>
    </row>
    <row r="118" spans="2:8" ht="12" customHeight="1">
      <c r="B118" s="900">
        <v>5</v>
      </c>
      <c r="C118" s="900"/>
      <c r="D118" s="901"/>
      <c r="E118" s="902"/>
      <c r="F118" s="1173"/>
      <c r="G118" s="1174"/>
      <c r="H118" s="1044"/>
    </row>
    <row r="119" spans="2:8" ht="12" customHeight="1">
      <c r="B119" s="900">
        <v>6</v>
      </c>
      <c r="C119" s="900"/>
      <c r="D119" s="901"/>
      <c r="E119" s="902"/>
      <c r="F119" s="1173"/>
      <c r="G119" s="1174"/>
      <c r="H119" s="1044"/>
    </row>
    <row r="120" spans="2:8" ht="12" customHeight="1">
      <c r="B120" s="900">
        <v>7</v>
      </c>
      <c r="C120" s="900"/>
      <c r="D120" s="901"/>
      <c r="E120" s="902"/>
      <c r="F120" s="1173"/>
      <c r="G120" s="1174"/>
      <c r="H120" s="1044"/>
    </row>
    <row r="121" spans="2:8" ht="12" customHeight="1">
      <c r="B121" s="900">
        <v>8</v>
      </c>
      <c r="C121" s="900"/>
      <c r="D121" s="901"/>
      <c r="E121" s="902"/>
      <c r="F121" s="1173"/>
      <c r="G121" s="1174"/>
      <c r="H121" s="1044"/>
    </row>
    <row r="122" spans="2:8" ht="12" customHeight="1">
      <c r="B122" s="900">
        <v>9</v>
      </c>
      <c r="C122" s="900"/>
      <c r="D122" s="901"/>
      <c r="E122" s="902"/>
      <c r="F122" s="1173"/>
      <c r="G122" s="1174"/>
      <c r="H122" s="1044"/>
    </row>
    <row r="123" spans="2:8" ht="12" customHeight="1">
      <c r="B123" s="900">
        <v>10</v>
      </c>
      <c r="C123" s="900"/>
      <c r="D123" s="901"/>
      <c r="E123" s="902"/>
      <c r="F123" s="1173"/>
      <c r="G123" s="1174"/>
      <c r="H123" s="1044"/>
    </row>
    <row r="124" spans="2:8" ht="12" customHeight="1">
      <c r="B124" s="452"/>
    </row>
    <row r="125" spans="2:8" ht="12" customHeight="1">
      <c r="B125" s="1194" t="s">
        <v>713</v>
      </c>
      <c r="C125" s="1195" t="s">
        <v>784</v>
      </c>
      <c r="D125" s="1195" t="s">
        <v>718</v>
      </c>
      <c r="E125" s="909" t="s">
        <v>728</v>
      </c>
      <c r="F125" s="1175" t="s">
        <v>942</v>
      </c>
      <c r="G125" s="1176"/>
      <c r="H125" s="1185" t="s">
        <v>930</v>
      </c>
    </row>
    <row r="126" spans="2:8" ht="12" customHeight="1">
      <c r="B126" s="1194"/>
      <c r="C126" s="1196"/>
      <c r="D126" s="1196"/>
      <c r="E126" s="880" t="s">
        <v>729</v>
      </c>
      <c r="F126" s="1177"/>
      <c r="G126" s="1178"/>
      <c r="H126" s="1186"/>
    </row>
    <row r="127" spans="2:8" ht="12" customHeight="1">
      <c r="B127" s="900">
        <v>1</v>
      </c>
      <c r="C127" s="900"/>
      <c r="D127" s="901"/>
      <c r="E127" s="912"/>
      <c r="F127" s="1173"/>
      <c r="G127" s="1174"/>
      <c r="H127" s="1044"/>
    </row>
    <row r="128" spans="2:8" ht="12" customHeight="1">
      <c r="B128" s="900">
        <v>2</v>
      </c>
      <c r="C128" s="999"/>
      <c r="D128" s="901"/>
      <c r="E128" s="912"/>
      <c r="F128" s="1173"/>
      <c r="G128" s="1174"/>
      <c r="H128" s="1044"/>
    </row>
    <row r="129" spans="2:8" ht="12" customHeight="1">
      <c r="B129" s="900">
        <v>3</v>
      </c>
      <c r="C129" s="900"/>
      <c r="D129" s="901"/>
      <c r="E129" s="902"/>
      <c r="F129" s="1173"/>
      <c r="G129" s="1174"/>
      <c r="H129" s="1044"/>
    </row>
    <row r="130" spans="2:8" ht="12" customHeight="1">
      <c r="B130" s="900">
        <v>4</v>
      </c>
      <c r="C130" s="900"/>
      <c r="D130" s="901"/>
      <c r="E130" s="902"/>
      <c r="F130" s="1173"/>
      <c r="G130" s="1174"/>
      <c r="H130" s="1044"/>
    </row>
    <row r="131" spans="2:8" ht="12" customHeight="1">
      <c r="B131" s="900">
        <v>5</v>
      </c>
      <c r="C131" s="900"/>
      <c r="D131" s="901"/>
      <c r="E131" s="902"/>
      <c r="F131" s="1173"/>
      <c r="G131" s="1174"/>
      <c r="H131" s="1044"/>
    </row>
    <row r="132" spans="2:8" ht="12" customHeight="1">
      <c r="B132" s="900">
        <v>6</v>
      </c>
      <c r="C132" s="900"/>
      <c r="D132" s="901"/>
      <c r="E132" s="902"/>
      <c r="F132" s="1173"/>
      <c r="G132" s="1174"/>
      <c r="H132" s="1044"/>
    </row>
    <row r="133" spans="2:8" ht="12" customHeight="1">
      <c r="B133" s="900">
        <v>7</v>
      </c>
      <c r="C133" s="900"/>
      <c r="D133" s="901"/>
      <c r="E133" s="902"/>
      <c r="F133" s="1173"/>
      <c r="G133" s="1174"/>
      <c r="H133" s="1044"/>
    </row>
    <row r="134" spans="2:8" ht="12" customHeight="1">
      <c r="B134" s="900">
        <v>8</v>
      </c>
      <c r="C134" s="900"/>
      <c r="D134" s="901"/>
      <c r="E134" s="902"/>
      <c r="F134" s="1173"/>
      <c r="G134" s="1174"/>
      <c r="H134" s="1044"/>
    </row>
    <row r="135" spans="2:8" ht="12" customHeight="1">
      <c r="B135" s="900">
        <v>9</v>
      </c>
      <c r="C135" s="900"/>
      <c r="D135" s="901"/>
      <c r="E135" s="902"/>
      <c r="F135" s="1173"/>
      <c r="G135" s="1174"/>
      <c r="H135" s="1044"/>
    </row>
    <row r="136" spans="2:8" ht="12" customHeight="1">
      <c r="B136" s="900">
        <v>10</v>
      </c>
      <c r="C136" s="900"/>
      <c r="D136" s="901"/>
      <c r="E136" s="902"/>
      <c r="F136" s="1173"/>
      <c r="G136" s="1174"/>
      <c r="H136" s="1044"/>
    </row>
    <row r="138" spans="2:8" ht="12" customHeight="1">
      <c r="B138" s="1194" t="s">
        <v>713</v>
      </c>
      <c r="C138" s="1199" t="s">
        <v>785</v>
      </c>
      <c r="D138" s="1195" t="s">
        <v>718</v>
      </c>
      <c r="E138" s="909" t="s">
        <v>728</v>
      </c>
      <c r="F138" s="1175" t="s">
        <v>942</v>
      </c>
      <c r="G138" s="1176"/>
      <c r="H138" s="1185" t="s">
        <v>930</v>
      </c>
    </row>
    <row r="139" spans="2:8" ht="12" customHeight="1">
      <c r="B139" s="1194"/>
      <c r="C139" s="1196"/>
      <c r="D139" s="1196"/>
      <c r="E139" s="880" t="s">
        <v>729</v>
      </c>
      <c r="F139" s="1177"/>
      <c r="G139" s="1178"/>
      <c r="H139" s="1186"/>
    </row>
    <row r="140" spans="2:8" ht="12" customHeight="1">
      <c r="B140" s="900">
        <v>1</v>
      </c>
      <c r="C140" s="900"/>
      <c r="D140" s="901"/>
      <c r="E140" s="902"/>
      <c r="F140" s="1173"/>
      <c r="G140" s="1174"/>
      <c r="H140" s="1044"/>
    </row>
    <row r="141" spans="2:8" ht="12" customHeight="1">
      <c r="B141" s="900">
        <v>2</v>
      </c>
      <c r="C141" s="900"/>
      <c r="D141" s="901"/>
      <c r="E141" s="902"/>
      <c r="F141" s="1173"/>
      <c r="G141" s="1174"/>
      <c r="H141" s="1044"/>
    </row>
    <row r="142" spans="2:8" ht="12" customHeight="1">
      <c r="B142" s="900">
        <v>3</v>
      </c>
      <c r="C142" s="900"/>
      <c r="D142" s="901"/>
      <c r="E142" s="900"/>
      <c r="F142" s="1173"/>
      <c r="G142" s="1174"/>
      <c r="H142" s="1044"/>
    </row>
    <row r="143" spans="2:8" ht="12" customHeight="1">
      <c r="B143" s="900">
        <v>4</v>
      </c>
      <c r="C143" s="900"/>
      <c r="D143" s="901"/>
      <c r="E143" s="900"/>
      <c r="F143" s="1173"/>
      <c r="G143" s="1174"/>
      <c r="H143" s="1044"/>
    </row>
    <row r="144" spans="2:8" ht="12" customHeight="1">
      <c r="B144" s="900">
        <v>5</v>
      </c>
      <c r="C144" s="900"/>
      <c r="D144" s="901"/>
      <c r="E144" s="900"/>
      <c r="F144" s="1173"/>
      <c r="G144" s="1174"/>
      <c r="H144" s="1044"/>
    </row>
    <row r="145" spans="2:8" ht="12" customHeight="1">
      <c r="B145" s="900">
        <v>6</v>
      </c>
      <c r="C145" s="900"/>
      <c r="D145" s="901"/>
      <c r="E145" s="900"/>
      <c r="F145" s="1173"/>
      <c r="G145" s="1174"/>
      <c r="H145" s="1044"/>
    </row>
    <row r="146" spans="2:8" ht="12" customHeight="1">
      <c r="B146" s="900">
        <v>7</v>
      </c>
      <c r="C146" s="900"/>
      <c r="D146" s="901"/>
      <c r="E146" s="902"/>
      <c r="F146" s="1173"/>
      <c r="G146" s="1174"/>
      <c r="H146" s="1044"/>
    </row>
    <row r="147" spans="2:8" ht="12" customHeight="1">
      <c r="B147" s="900">
        <v>8</v>
      </c>
      <c r="C147" s="900"/>
      <c r="D147" s="901"/>
      <c r="E147" s="902"/>
      <c r="F147" s="1173"/>
      <c r="G147" s="1174"/>
      <c r="H147" s="1044"/>
    </row>
    <row r="148" spans="2:8" ht="12" customHeight="1">
      <c r="B148" s="900">
        <v>9</v>
      </c>
      <c r="C148" s="900"/>
      <c r="D148" s="901"/>
      <c r="E148" s="902"/>
      <c r="F148" s="1173"/>
      <c r="G148" s="1174"/>
      <c r="H148" s="1044"/>
    </row>
    <row r="149" spans="2:8" ht="12" customHeight="1">
      <c r="B149" s="900">
        <v>10</v>
      </c>
      <c r="C149" s="900"/>
      <c r="D149" s="901"/>
      <c r="E149" s="902"/>
      <c r="F149" s="1173"/>
      <c r="G149" s="1174"/>
      <c r="H149" s="1044"/>
    </row>
    <row r="151" spans="2:8" ht="12" customHeight="1">
      <c r="B151" s="1194" t="s">
        <v>713</v>
      </c>
      <c r="C151" s="1195" t="s">
        <v>786</v>
      </c>
      <c r="D151" s="1195" t="s">
        <v>718</v>
      </c>
      <c r="E151" s="909" t="s">
        <v>728</v>
      </c>
      <c r="F151" s="1175" t="s">
        <v>942</v>
      </c>
      <c r="G151" s="1176"/>
      <c r="H151" s="1185" t="s">
        <v>930</v>
      </c>
    </row>
    <row r="152" spans="2:8" ht="12" customHeight="1">
      <c r="B152" s="1194"/>
      <c r="C152" s="1196"/>
      <c r="D152" s="1196"/>
      <c r="E152" s="880" t="s">
        <v>729</v>
      </c>
      <c r="F152" s="1177"/>
      <c r="G152" s="1178"/>
      <c r="H152" s="1186"/>
    </row>
    <row r="153" spans="2:8" ht="12" customHeight="1">
      <c r="B153" s="900">
        <v>1</v>
      </c>
      <c r="C153" s="900"/>
      <c r="D153" s="901"/>
      <c r="E153" s="902"/>
      <c r="F153" s="1173"/>
      <c r="G153" s="1174"/>
      <c r="H153" s="1044"/>
    </row>
    <row r="154" spans="2:8" ht="12" customHeight="1">
      <c r="B154" s="900">
        <v>2</v>
      </c>
      <c r="C154" s="900"/>
      <c r="D154" s="901"/>
      <c r="E154" s="902"/>
      <c r="F154" s="1173"/>
      <c r="G154" s="1174"/>
      <c r="H154" s="1044"/>
    </row>
    <row r="155" spans="2:8" ht="12" customHeight="1">
      <c r="B155" s="900">
        <v>3</v>
      </c>
      <c r="C155" s="900"/>
      <c r="D155" s="901"/>
      <c r="E155" s="902"/>
      <c r="F155" s="1173"/>
      <c r="G155" s="1174"/>
      <c r="H155" s="1044"/>
    </row>
    <row r="156" spans="2:8" ht="12" customHeight="1">
      <c r="B156" s="900">
        <v>4</v>
      </c>
      <c r="C156" s="900"/>
      <c r="D156" s="901"/>
      <c r="E156" s="902"/>
      <c r="F156" s="1173"/>
      <c r="G156" s="1174"/>
      <c r="H156" s="1044"/>
    </row>
    <row r="157" spans="2:8" ht="12" customHeight="1">
      <c r="B157" s="900">
        <v>5</v>
      </c>
      <c r="C157" s="900"/>
      <c r="D157" s="901"/>
      <c r="E157" s="902"/>
      <c r="F157" s="1173"/>
      <c r="G157" s="1174"/>
      <c r="H157" s="1044"/>
    </row>
    <row r="158" spans="2:8" ht="12" customHeight="1">
      <c r="B158" s="900">
        <v>6</v>
      </c>
      <c r="C158" s="900"/>
      <c r="D158" s="901"/>
      <c r="E158" s="902"/>
      <c r="F158" s="1173"/>
      <c r="G158" s="1174"/>
      <c r="H158" s="1044"/>
    </row>
    <row r="159" spans="2:8" ht="12" customHeight="1">
      <c r="B159" s="900">
        <v>7</v>
      </c>
      <c r="C159" s="900"/>
      <c r="D159" s="901"/>
      <c r="E159" s="902"/>
      <c r="F159" s="1173"/>
      <c r="G159" s="1174"/>
      <c r="H159" s="1044"/>
    </row>
    <row r="160" spans="2:8" ht="12" customHeight="1">
      <c r="B160" s="900">
        <v>8</v>
      </c>
      <c r="C160" s="900"/>
      <c r="D160" s="901"/>
      <c r="E160" s="902"/>
      <c r="F160" s="1173"/>
      <c r="G160" s="1174"/>
      <c r="H160" s="1044"/>
    </row>
    <row r="161" spans="2:8" ht="12" customHeight="1">
      <c r="B161" s="900">
        <v>9</v>
      </c>
      <c r="C161" s="900"/>
      <c r="D161" s="901"/>
      <c r="E161" s="902"/>
      <c r="F161" s="1173"/>
      <c r="G161" s="1174"/>
      <c r="H161" s="1044"/>
    </row>
    <row r="162" spans="2:8" ht="12" customHeight="1">
      <c r="B162" s="900">
        <v>10</v>
      </c>
      <c r="C162" s="900"/>
      <c r="D162" s="901"/>
      <c r="E162" s="902"/>
      <c r="F162" s="1173"/>
      <c r="G162" s="1174"/>
      <c r="H162" s="1044"/>
    </row>
    <row r="164" spans="2:8" ht="12" customHeight="1">
      <c r="B164" s="1197" t="s">
        <v>713</v>
      </c>
      <c r="C164" s="1195" t="s">
        <v>787</v>
      </c>
      <c r="D164" s="1195" t="s">
        <v>718</v>
      </c>
      <c r="E164" s="909" t="s">
        <v>728</v>
      </c>
      <c r="F164" s="1175" t="s">
        <v>942</v>
      </c>
      <c r="G164" s="1176"/>
      <c r="H164" s="1185" t="s">
        <v>930</v>
      </c>
    </row>
    <row r="165" spans="2:8" ht="12" customHeight="1">
      <c r="B165" s="1198"/>
      <c r="C165" s="1196"/>
      <c r="D165" s="1196"/>
      <c r="E165" s="880" t="s">
        <v>729</v>
      </c>
      <c r="F165" s="1177"/>
      <c r="G165" s="1178"/>
      <c r="H165" s="1186"/>
    </row>
    <row r="166" spans="2:8" ht="12" customHeight="1">
      <c r="B166" s="900">
        <v>1</v>
      </c>
      <c r="C166" s="900"/>
      <c r="D166" s="901"/>
      <c r="E166" s="902"/>
      <c r="F166" s="1173"/>
      <c r="G166" s="1174"/>
      <c r="H166" s="1044"/>
    </row>
    <row r="167" spans="2:8" ht="12" customHeight="1">
      <c r="B167" s="900">
        <v>2</v>
      </c>
      <c r="C167" s="900"/>
      <c r="D167" s="901"/>
      <c r="E167" s="902"/>
      <c r="F167" s="1173"/>
      <c r="G167" s="1174"/>
      <c r="H167" s="1044"/>
    </row>
    <row r="168" spans="2:8" ht="12" customHeight="1">
      <c r="B168" s="900">
        <v>3</v>
      </c>
      <c r="C168" s="900"/>
      <c r="D168" s="901"/>
      <c r="E168" s="902"/>
      <c r="F168" s="1173"/>
      <c r="G168" s="1174"/>
      <c r="H168" s="1044"/>
    </row>
    <row r="169" spans="2:8" ht="12" customHeight="1">
      <c r="B169" s="900">
        <v>4</v>
      </c>
      <c r="C169" s="900"/>
      <c r="D169" s="901"/>
      <c r="E169" s="902"/>
      <c r="F169" s="1173"/>
      <c r="G169" s="1174"/>
      <c r="H169" s="1044"/>
    </row>
    <row r="170" spans="2:8" ht="12" customHeight="1">
      <c r="B170" s="900">
        <v>5</v>
      </c>
      <c r="C170" s="900"/>
      <c r="D170" s="901"/>
      <c r="E170" s="902"/>
      <c r="F170" s="1173"/>
      <c r="G170" s="1174"/>
      <c r="H170" s="1044"/>
    </row>
    <row r="172" spans="2:8" ht="12" customHeight="1">
      <c r="B172" s="1194" t="s">
        <v>713</v>
      </c>
      <c r="C172" s="1195" t="s">
        <v>788</v>
      </c>
      <c r="D172" s="1195" t="s">
        <v>718</v>
      </c>
      <c r="E172" s="909" t="s">
        <v>728</v>
      </c>
      <c r="F172" s="1175" t="s">
        <v>942</v>
      </c>
      <c r="G172" s="1176"/>
      <c r="H172" s="1185" t="s">
        <v>930</v>
      </c>
    </row>
    <row r="173" spans="2:8" ht="12" customHeight="1">
      <c r="B173" s="1194"/>
      <c r="C173" s="1196"/>
      <c r="D173" s="1196"/>
      <c r="E173" s="880" t="s">
        <v>729</v>
      </c>
      <c r="F173" s="1177"/>
      <c r="G173" s="1178"/>
      <c r="H173" s="1186"/>
    </row>
    <row r="174" spans="2:8" ht="12" customHeight="1">
      <c r="B174" s="900">
        <v>1</v>
      </c>
      <c r="C174" s="999"/>
      <c r="D174" s="900"/>
      <c r="E174" s="902"/>
      <c r="F174" s="1173"/>
      <c r="G174" s="1174"/>
      <c r="H174" s="1044"/>
    </row>
    <row r="175" spans="2:8" ht="12" customHeight="1">
      <c r="B175" s="900">
        <v>2</v>
      </c>
      <c r="C175" s="900"/>
      <c r="D175" s="901"/>
      <c r="E175" s="902"/>
      <c r="F175" s="1173"/>
      <c r="G175" s="1174"/>
      <c r="H175" s="1044"/>
    </row>
    <row r="176" spans="2:8" ht="12" customHeight="1">
      <c r="B176" s="900">
        <v>3</v>
      </c>
      <c r="C176" s="900"/>
      <c r="D176" s="901"/>
      <c r="E176" s="902"/>
      <c r="F176" s="1173"/>
      <c r="G176" s="1174"/>
      <c r="H176" s="1044"/>
    </row>
    <row r="177" spans="2:8" ht="12" customHeight="1">
      <c r="B177" s="900">
        <v>4</v>
      </c>
      <c r="C177" s="900"/>
      <c r="D177" s="901"/>
      <c r="E177" s="902"/>
      <c r="F177" s="1173"/>
      <c r="G177" s="1174"/>
      <c r="H177" s="1044"/>
    </row>
    <row r="178" spans="2:8" ht="12" customHeight="1">
      <c r="B178" s="900">
        <v>5</v>
      </c>
      <c r="C178" s="900"/>
      <c r="D178" s="901"/>
      <c r="E178" s="902"/>
      <c r="F178" s="1173"/>
      <c r="G178" s="1174"/>
      <c r="H178" s="1044"/>
    </row>
    <row r="180" spans="2:8" ht="12" customHeight="1">
      <c r="B180" s="1194" t="s">
        <v>713</v>
      </c>
      <c r="C180" s="1195" t="s">
        <v>139</v>
      </c>
      <c r="D180" s="1195" t="s">
        <v>718</v>
      </c>
      <c r="E180" s="909" t="s">
        <v>728</v>
      </c>
      <c r="F180" s="1175" t="s">
        <v>942</v>
      </c>
      <c r="G180" s="1176"/>
      <c r="H180" s="1185" t="s">
        <v>930</v>
      </c>
    </row>
    <row r="181" spans="2:8" ht="12" customHeight="1">
      <c r="B181" s="1194"/>
      <c r="C181" s="1196"/>
      <c r="D181" s="1196"/>
      <c r="E181" s="880" t="s">
        <v>729</v>
      </c>
      <c r="F181" s="1177"/>
      <c r="G181" s="1178"/>
      <c r="H181" s="1186"/>
    </row>
    <row r="182" spans="2:8" ht="12" customHeight="1">
      <c r="B182" s="900">
        <v>1</v>
      </c>
      <c r="C182" s="900"/>
      <c r="D182" s="900"/>
      <c r="E182" s="902"/>
      <c r="F182" s="1173"/>
      <c r="G182" s="1174"/>
      <c r="H182" s="1044"/>
    </row>
    <row r="183" spans="2:8" ht="12" customHeight="1">
      <c r="B183" s="900">
        <v>2</v>
      </c>
      <c r="C183" s="900"/>
      <c r="D183" s="901"/>
      <c r="E183" s="902"/>
      <c r="F183" s="1173"/>
      <c r="G183" s="1174"/>
      <c r="H183" s="1044"/>
    </row>
    <row r="184" spans="2:8" ht="12" customHeight="1">
      <c r="B184" s="900">
        <v>3</v>
      </c>
      <c r="C184" s="900"/>
      <c r="D184" s="901"/>
      <c r="E184" s="902"/>
      <c r="F184" s="1173"/>
      <c r="G184" s="1174"/>
      <c r="H184" s="1044"/>
    </row>
    <row r="185" spans="2:8" ht="12" customHeight="1">
      <c r="B185" s="900">
        <v>4</v>
      </c>
      <c r="C185" s="900"/>
      <c r="D185" s="901"/>
      <c r="E185" s="902"/>
      <c r="F185" s="1173"/>
      <c r="G185" s="1174"/>
      <c r="H185" s="1044"/>
    </row>
    <row r="186" spans="2:8" ht="12" customHeight="1">
      <c r="B186" s="900">
        <v>5</v>
      </c>
      <c r="C186" s="900"/>
      <c r="D186" s="901"/>
      <c r="E186" s="902"/>
      <c r="F186" s="1173"/>
      <c r="G186" s="1174"/>
      <c r="H186" s="1044"/>
    </row>
  </sheetData>
  <mergeCells count="215">
    <mergeCell ref="H72:H73"/>
    <mergeCell ref="H112:H113"/>
    <mergeCell ref="H125:H126"/>
    <mergeCell ref="H138:H139"/>
    <mergeCell ref="H151:H152"/>
    <mergeCell ref="H164:H165"/>
    <mergeCell ref="H172:H173"/>
    <mergeCell ref="H180:H181"/>
    <mergeCell ref="F122:G122"/>
    <mergeCell ref="F123:G123"/>
    <mergeCell ref="F117:G117"/>
    <mergeCell ref="F118:G118"/>
    <mergeCell ref="F119:G119"/>
    <mergeCell ref="F120:G120"/>
    <mergeCell ref="F180:G181"/>
    <mergeCell ref="G104:H104"/>
    <mergeCell ref="F121:G121"/>
    <mergeCell ref="F114:G114"/>
    <mergeCell ref="F115:G115"/>
    <mergeCell ref="F116:G116"/>
    <mergeCell ref="F78:G78"/>
    <mergeCell ref="F79:G79"/>
    <mergeCell ref="G106:H106"/>
    <mergeCell ref="G107:H107"/>
    <mergeCell ref="F182:G182"/>
    <mergeCell ref="F183:G183"/>
    <mergeCell ref="F174:G174"/>
    <mergeCell ref="F175:G175"/>
    <mergeCell ref="F176:G176"/>
    <mergeCell ref="F177:G177"/>
    <mergeCell ref="F178:G178"/>
    <mergeCell ref="F167:G167"/>
    <mergeCell ref="F168:G168"/>
    <mergeCell ref="F169:G169"/>
    <mergeCell ref="F170:G170"/>
    <mergeCell ref="F172:G173"/>
    <mergeCell ref="F143:G143"/>
    <mergeCell ref="F144:G144"/>
    <mergeCell ref="F145:G145"/>
    <mergeCell ref="F146:G146"/>
    <mergeCell ref="F147:G147"/>
    <mergeCell ref="F148:G148"/>
    <mergeCell ref="F149:G149"/>
    <mergeCell ref="F151:G152"/>
    <mergeCell ref="F153:G153"/>
    <mergeCell ref="G103:H103"/>
    <mergeCell ref="G94:H94"/>
    <mergeCell ref="G93:H93"/>
    <mergeCell ref="G95:H95"/>
    <mergeCell ref="G96:H96"/>
    <mergeCell ref="G97:H97"/>
    <mergeCell ref="G98:H98"/>
    <mergeCell ref="F186:G186"/>
    <mergeCell ref="F154:G154"/>
    <mergeCell ref="F155:G155"/>
    <mergeCell ref="F156:G156"/>
    <mergeCell ref="F157:G157"/>
    <mergeCell ref="F158:G158"/>
    <mergeCell ref="F159:G159"/>
    <mergeCell ref="F160:G160"/>
    <mergeCell ref="F161:G161"/>
    <mergeCell ref="F162:G162"/>
    <mergeCell ref="F164:G165"/>
    <mergeCell ref="F166:G166"/>
    <mergeCell ref="F184:G184"/>
    <mergeCell ref="F185:G185"/>
    <mergeCell ref="F140:G140"/>
    <mergeCell ref="F141:G141"/>
    <mergeCell ref="F142:G142"/>
    <mergeCell ref="F136:G136"/>
    <mergeCell ref="F112:G113"/>
    <mergeCell ref="F125:G126"/>
    <mergeCell ref="F138:G139"/>
    <mergeCell ref="F130:G130"/>
    <mergeCell ref="F131:G131"/>
    <mergeCell ref="F132:G132"/>
    <mergeCell ref="F133:G133"/>
    <mergeCell ref="F134:G134"/>
    <mergeCell ref="F127:G127"/>
    <mergeCell ref="F128:G128"/>
    <mergeCell ref="F129:G129"/>
    <mergeCell ref="F135:G135"/>
    <mergeCell ref="C43:C44"/>
    <mergeCell ref="B43:B44"/>
    <mergeCell ref="D43:D44"/>
    <mergeCell ref="B94:B99"/>
    <mergeCell ref="F94:F99"/>
    <mergeCell ref="B100:B107"/>
    <mergeCell ref="F100:F107"/>
    <mergeCell ref="B72:B73"/>
    <mergeCell ref="C72:C73"/>
    <mergeCell ref="D72:D73"/>
    <mergeCell ref="E43:E44"/>
    <mergeCell ref="F43:F44"/>
    <mergeCell ref="F82:G82"/>
    <mergeCell ref="F83:G83"/>
    <mergeCell ref="F84:G84"/>
    <mergeCell ref="F85:G85"/>
    <mergeCell ref="F86:G86"/>
    <mergeCell ref="F87:G87"/>
    <mergeCell ref="F88:G88"/>
    <mergeCell ref="G105:H105"/>
    <mergeCell ref="G99:H99"/>
    <mergeCell ref="G100:H100"/>
    <mergeCell ref="G101:H101"/>
    <mergeCell ref="G102:H102"/>
    <mergeCell ref="T14:U14"/>
    <mergeCell ref="T15:U15"/>
    <mergeCell ref="T16:U16"/>
    <mergeCell ref="B180:B181"/>
    <mergeCell ref="C180:C181"/>
    <mergeCell ref="D180:D181"/>
    <mergeCell ref="B151:B152"/>
    <mergeCell ref="C151:C152"/>
    <mergeCell ref="D151:D152"/>
    <mergeCell ref="B164:B165"/>
    <mergeCell ref="C164:C165"/>
    <mergeCell ref="D164:D165"/>
    <mergeCell ref="B172:B173"/>
    <mergeCell ref="C172:C173"/>
    <mergeCell ref="D172:D173"/>
    <mergeCell ref="B138:B139"/>
    <mergeCell ref="C138:C139"/>
    <mergeCell ref="D138:D139"/>
    <mergeCell ref="B112:B113"/>
    <mergeCell ref="C112:C113"/>
    <mergeCell ref="D112:D113"/>
    <mergeCell ref="B125:B126"/>
    <mergeCell ref="C125:C126"/>
    <mergeCell ref="D125:D126"/>
    <mergeCell ref="T5:U5"/>
    <mergeCell ref="T6:U6"/>
    <mergeCell ref="T7:U7"/>
    <mergeCell ref="T8:U8"/>
    <mergeCell ref="T9:U9"/>
    <mergeCell ref="T10:U10"/>
    <mergeCell ref="T11:U11"/>
    <mergeCell ref="T12:U12"/>
    <mergeCell ref="T13:U13"/>
    <mergeCell ref="R5:S5"/>
    <mergeCell ref="R6:S6"/>
    <mergeCell ref="R7:S7"/>
    <mergeCell ref="R8:S8"/>
    <mergeCell ref="R9:S9"/>
    <mergeCell ref="R10:S10"/>
    <mergeCell ref="R11:S11"/>
    <mergeCell ref="R12:S12"/>
    <mergeCell ref="R13:S13"/>
    <mergeCell ref="T29:U29"/>
    <mergeCell ref="T30:U30"/>
    <mergeCell ref="T31:U31"/>
    <mergeCell ref="T32:U32"/>
    <mergeCell ref="T33:U33"/>
    <mergeCell ref="T34:U34"/>
    <mergeCell ref="T35:U35"/>
    <mergeCell ref="T36:U36"/>
    <mergeCell ref="T37:U37"/>
    <mergeCell ref="T24:U24"/>
    <mergeCell ref="T25:U25"/>
    <mergeCell ref="T26:U26"/>
    <mergeCell ref="T27:U27"/>
    <mergeCell ref="T17:U17"/>
    <mergeCell ref="T18:U18"/>
    <mergeCell ref="R26:S26"/>
    <mergeCell ref="R27:S27"/>
    <mergeCell ref="T28:U28"/>
    <mergeCell ref="R24:S24"/>
    <mergeCell ref="R25:S25"/>
    <mergeCell ref="L45:M45"/>
    <mergeCell ref="L46:M46"/>
    <mergeCell ref="L47:M47"/>
    <mergeCell ref="L48:M48"/>
    <mergeCell ref="L49:M49"/>
    <mergeCell ref="L50:M50"/>
    <mergeCell ref="R14:S14"/>
    <mergeCell ref="R15:S15"/>
    <mergeCell ref="R16:S16"/>
    <mergeCell ref="R17:S17"/>
    <mergeCell ref="R18:S18"/>
    <mergeCell ref="R28:S28"/>
    <mergeCell ref="R29:S29"/>
    <mergeCell ref="R30:S30"/>
    <mergeCell ref="R31:S31"/>
    <mergeCell ref="R32:S32"/>
    <mergeCell ref="R33:S33"/>
    <mergeCell ref="R34:S34"/>
    <mergeCell ref="L43:M44"/>
    <mergeCell ref="R35:S35"/>
    <mergeCell ref="R36:S36"/>
    <mergeCell ref="R37:S37"/>
    <mergeCell ref="N43:N44"/>
    <mergeCell ref="L51:M51"/>
    <mergeCell ref="L52:M52"/>
    <mergeCell ref="L53:M53"/>
    <mergeCell ref="F80:G80"/>
    <mergeCell ref="F81:G81"/>
    <mergeCell ref="L54:M54"/>
    <mergeCell ref="L55:M55"/>
    <mergeCell ref="L56:M56"/>
    <mergeCell ref="L57:M57"/>
    <mergeCell ref="L58:M58"/>
    <mergeCell ref="L59:M59"/>
    <mergeCell ref="L60:M60"/>
    <mergeCell ref="L61:M61"/>
    <mergeCell ref="L62:M62"/>
    <mergeCell ref="L63:M63"/>
    <mergeCell ref="L64:M64"/>
    <mergeCell ref="L65:M65"/>
    <mergeCell ref="L66:M66"/>
    <mergeCell ref="L67:M67"/>
    <mergeCell ref="F72:G73"/>
    <mergeCell ref="F74:G74"/>
    <mergeCell ref="F75:G75"/>
    <mergeCell ref="F76:G76"/>
    <mergeCell ref="F77:G77"/>
  </mergeCells>
  <phoneticPr fontId="6" type="noConversion"/>
  <conditionalFormatting sqref="Q11:Q18">
    <cfRule type="cellIs" dxfId="45" priority="71" operator="equal">
      <formula>"未确认"</formula>
    </cfRule>
    <cfRule type="cellIs" dxfId="44" priority="72" operator="equal">
      <formula>"已确认"</formula>
    </cfRule>
  </conditionalFormatting>
  <conditionalFormatting sqref="Q7">
    <cfRule type="cellIs" dxfId="43" priority="69" operator="equal">
      <formula>"未确认"</formula>
    </cfRule>
    <cfRule type="cellIs" dxfId="42" priority="70" operator="equal">
      <formula>"已确认"</formula>
    </cfRule>
  </conditionalFormatting>
  <conditionalFormatting sqref="Q8">
    <cfRule type="cellIs" dxfId="41" priority="67" operator="equal">
      <formula>"未确认"</formula>
    </cfRule>
    <cfRule type="cellIs" dxfId="40" priority="68" operator="equal">
      <formula>"已确认"</formula>
    </cfRule>
  </conditionalFormatting>
  <conditionalFormatting sqref="Q9">
    <cfRule type="cellIs" dxfId="39" priority="65" operator="equal">
      <formula>"未确认"</formula>
    </cfRule>
    <cfRule type="cellIs" dxfId="38" priority="66" operator="equal">
      <formula>"已确认"</formula>
    </cfRule>
  </conditionalFormatting>
  <conditionalFormatting sqref="Q10">
    <cfRule type="cellIs" dxfId="37" priority="63" operator="equal">
      <formula>"未确认"</formula>
    </cfRule>
    <cfRule type="cellIs" dxfId="36" priority="64" operator="equal">
      <formula>"已确认"</formula>
    </cfRule>
  </conditionalFormatting>
  <conditionalFormatting sqref="Q6">
    <cfRule type="cellIs" dxfId="35" priority="61" operator="equal">
      <formula>"未确认"</formula>
    </cfRule>
    <cfRule type="cellIs" dxfId="34" priority="62" operator="equal">
      <formula>"已确认"</formula>
    </cfRule>
  </conditionalFormatting>
  <conditionalFormatting sqref="Q29:Q37">
    <cfRule type="cellIs" dxfId="33" priority="59" operator="equal">
      <formula>"未确认"</formula>
    </cfRule>
    <cfRule type="cellIs" dxfId="32" priority="60" operator="equal">
      <formula>"已确认"</formula>
    </cfRule>
  </conditionalFormatting>
  <conditionalFormatting sqref="Q25">
    <cfRule type="cellIs" dxfId="31" priority="57" operator="equal">
      <formula>"未确认"</formula>
    </cfRule>
    <cfRule type="cellIs" dxfId="30" priority="58" operator="equal">
      <formula>"已确认"</formula>
    </cfRule>
  </conditionalFormatting>
  <conditionalFormatting sqref="Q26">
    <cfRule type="cellIs" dxfId="29" priority="55" operator="equal">
      <formula>"未确认"</formula>
    </cfRule>
    <cfRule type="cellIs" dxfId="28" priority="56" operator="equal">
      <formula>"已确认"</formula>
    </cfRule>
  </conditionalFormatting>
  <conditionalFormatting sqref="Q27">
    <cfRule type="cellIs" dxfId="27" priority="53" operator="equal">
      <formula>"未确认"</formula>
    </cfRule>
    <cfRule type="cellIs" dxfId="26" priority="54" operator="equal">
      <formula>"已确认"</formula>
    </cfRule>
  </conditionalFormatting>
  <conditionalFormatting sqref="Q28">
    <cfRule type="cellIs" dxfId="25" priority="51" operator="equal">
      <formula>"未确认"</formula>
    </cfRule>
    <cfRule type="cellIs" dxfId="24" priority="52" operator="equal">
      <formula>"已确认"</formula>
    </cfRule>
  </conditionalFormatting>
  <conditionalFormatting sqref="T6:T18">
    <cfRule type="cellIs" dxfId="23" priority="49" operator="equal">
      <formula>"未确认"</formula>
    </cfRule>
    <cfRule type="cellIs" dxfId="22" priority="50" operator="equal">
      <formula>"已确认"</formula>
    </cfRule>
  </conditionalFormatting>
  <conditionalFormatting sqref="R25:R37">
    <cfRule type="cellIs" dxfId="21" priority="47" operator="equal">
      <formula>"未确认"</formula>
    </cfRule>
    <cfRule type="cellIs" dxfId="20" priority="48" operator="equal">
      <formula>"已确认"</formula>
    </cfRule>
  </conditionalFormatting>
  <dataValidations count="2">
    <dataValidation type="list" allowBlank="1" showInputMessage="1" showErrorMessage="1" sqref="Q6:Q18 Q25:Q37">
      <formula1>"已确认,未确认"</formula1>
    </dataValidation>
    <dataValidation type="list" allowBlank="1" showInputMessage="1" showErrorMessage="1" sqref="V6:V18 V25:V37 N45:N67 H74:H88 I94:I107 H114:H123 H127:H136 H140:H149 H153:H162 H166:H170 H174:H178 H182:H186">
      <formula1>"是,否"</formula1>
    </dataValidation>
  </dataValidations>
  <hyperlinks>
    <hyperlink ref="D3" r:id="rId1"/>
    <hyperlink ref="D22" r:id="rId2"/>
    <hyperlink ref="D91" r:id="rId3"/>
    <hyperlink ref="D70" r:id="rId4"/>
    <hyperlink ref="J2" location="设计主界面!A1" display="返回"/>
  </hyperlinks>
  <pageMargins left="0.7" right="0.7" top="0.75" bottom="0.75" header="0.3" footer="0.3"/>
  <pageSetup paperSize="9" orientation="portrait" r:id="rId5"/>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AF152"/>
  <sheetViews>
    <sheetView topLeftCell="A31" zoomScaleNormal="100" workbookViewId="0">
      <selection activeCell="D36" sqref="D36"/>
    </sheetView>
  </sheetViews>
  <sheetFormatPr defaultColWidth="9" defaultRowHeight="15"/>
  <cols>
    <col min="1" max="1" width="2.25" style="1" customWidth="1" collapsed="1"/>
    <col min="2" max="2" width="9.875" style="1" customWidth="1" collapsed="1"/>
    <col min="3" max="3" width="9.625" style="1" customWidth="1" collapsed="1"/>
    <col min="4" max="6" width="9.5" style="1" customWidth="1" collapsed="1"/>
    <col min="7" max="7" width="11.875" style="1" customWidth="1" collapsed="1"/>
    <col min="8" max="8" width="9" style="1" customWidth="1" collapsed="1"/>
    <col min="9" max="9" width="10.625" style="1" customWidth="1" collapsed="1"/>
    <col min="10" max="10" width="9.125" style="1" customWidth="1" collapsed="1"/>
    <col min="11" max="12" width="9" style="1" customWidth="1" collapsed="1"/>
    <col min="13" max="13" width="10.75" style="1" customWidth="1" collapsed="1"/>
    <col min="14" max="14" width="9" style="1" customWidth="1" collapsed="1"/>
    <col min="15" max="15" width="7" style="1" customWidth="1" collapsed="1"/>
    <col min="16" max="16" width="10.125" style="1" customWidth="1" collapsed="1"/>
    <col min="17" max="17" width="10.75" style="1" customWidth="1" collapsed="1"/>
    <col min="18" max="18" width="8.875" style="1" customWidth="1" collapsed="1"/>
    <col min="19" max="19" width="11.375" style="1" customWidth="1" collapsed="1"/>
    <col min="20" max="20" width="8.25" style="1" customWidth="1" collapsed="1"/>
    <col min="21" max="24" width="9" style="1" collapsed="1"/>
    <col min="25" max="26" width="10.5" style="1" bestFit="1" customWidth="1" collapsed="1"/>
    <col min="27" max="16384" width="9" style="1" collapsed="1"/>
  </cols>
  <sheetData>
    <row r="2" spans="2:25">
      <c r="E2" s="72"/>
      <c r="H2" s="12"/>
      <c r="J2" s="50"/>
    </row>
    <row r="3" spans="2:25" ht="22.5" thickBot="1">
      <c r="B3" s="39" t="s">
        <v>226</v>
      </c>
      <c r="C3" s="38"/>
      <c r="D3" s="38"/>
      <c r="E3" s="51"/>
      <c r="F3" s="38"/>
      <c r="G3" s="38"/>
      <c r="H3" s="38"/>
      <c r="I3" s="38"/>
      <c r="J3" s="353"/>
      <c r="K3" s="38"/>
      <c r="L3" s="38"/>
      <c r="M3" s="38"/>
      <c r="N3" s="38"/>
      <c r="O3" s="38"/>
      <c r="P3" s="38"/>
      <c r="Q3" s="490"/>
      <c r="R3" s="490"/>
      <c r="S3" s="490"/>
      <c r="T3" s="490"/>
      <c r="U3" s="490"/>
      <c r="V3" s="490"/>
      <c r="W3" s="490"/>
      <c r="X3" s="490"/>
      <c r="Y3" s="490"/>
    </row>
    <row r="4" spans="2:25" ht="15.75" thickTop="1">
      <c r="C4" s="9"/>
      <c r="H4" s="481"/>
    </row>
    <row r="5" spans="2:25">
      <c r="B5" s="12" t="s">
        <v>510</v>
      </c>
      <c r="E5" s="479"/>
      <c r="J5" s="6" t="s">
        <v>516</v>
      </c>
      <c r="K5" s="12" t="s">
        <v>528</v>
      </c>
      <c r="V5" s="6"/>
      <c r="W5" s="378"/>
    </row>
    <row r="6" spans="2:25" ht="18.75">
      <c r="B6" s="351"/>
      <c r="C6" s="141"/>
      <c r="D6" s="141"/>
      <c r="E6" s="141"/>
      <c r="F6" s="480"/>
      <c r="G6" s="141"/>
      <c r="H6" s="141"/>
      <c r="J6" s="6" t="s">
        <v>517</v>
      </c>
      <c r="K6" s="12" t="s">
        <v>518</v>
      </c>
      <c r="V6" s="6"/>
      <c r="W6" s="7"/>
    </row>
    <row r="7" spans="2:25" ht="15.75">
      <c r="B7" s="141"/>
      <c r="C7" s="141"/>
      <c r="D7" s="141"/>
      <c r="E7" s="141"/>
      <c r="F7" s="141"/>
      <c r="G7" s="141"/>
      <c r="H7" s="141"/>
      <c r="I7" s="143"/>
      <c r="J7" s="6" t="s">
        <v>519</v>
      </c>
      <c r="K7" s="12" t="s">
        <v>892</v>
      </c>
      <c r="Q7" s="3"/>
    </row>
    <row r="8" spans="2:25" ht="15.75">
      <c r="B8" s="141"/>
      <c r="C8" s="141"/>
      <c r="D8" s="141"/>
      <c r="E8" s="141"/>
      <c r="F8" s="141"/>
      <c r="G8" s="141"/>
      <c r="H8" s="141"/>
      <c r="I8" s="143"/>
      <c r="J8" s="491" t="s">
        <v>520</v>
      </c>
      <c r="K8" s="12" t="s">
        <v>890</v>
      </c>
    </row>
    <row r="9" spans="2:25">
      <c r="B9" s="141"/>
      <c r="C9" s="141"/>
      <c r="D9" s="141"/>
      <c r="E9" s="141"/>
      <c r="F9" s="141"/>
      <c r="G9" s="141"/>
      <c r="H9" s="141"/>
      <c r="I9" s="141"/>
      <c r="J9" s="491" t="s">
        <v>521</v>
      </c>
      <c r="K9" s="12" t="s">
        <v>893</v>
      </c>
      <c r="S9" s="325"/>
      <c r="T9" s="324"/>
      <c r="V9" s="8"/>
      <c r="W9" s="3"/>
    </row>
    <row r="10" spans="2:25">
      <c r="B10" s="141"/>
      <c r="C10" s="141"/>
      <c r="D10" s="141"/>
      <c r="E10" s="141"/>
      <c r="F10" s="141"/>
      <c r="G10" s="141"/>
      <c r="H10" s="141"/>
      <c r="I10" s="141"/>
      <c r="K10" s="12" t="s">
        <v>891</v>
      </c>
    </row>
    <row r="11" spans="2:25">
      <c r="B11" s="141"/>
      <c r="C11" s="141"/>
      <c r="D11" s="141"/>
      <c r="E11" s="141"/>
      <c r="F11" s="141"/>
      <c r="G11" s="141"/>
      <c r="H11" s="141"/>
      <c r="I11" s="141"/>
      <c r="J11" s="491" t="s">
        <v>522</v>
      </c>
      <c r="K11" s="12" t="s">
        <v>523</v>
      </c>
    </row>
    <row r="12" spans="2:25">
      <c r="B12" s="141"/>
      <c r="C12" s="141"/>
      <c r="D12" s="141"/>
      <c r="E12" s="141"/>
      <c r="F12" s="141"/>
      <c r="G12" s="141"/>
      <c r="H12" s="141"/>
      <c r="I12" s="141"/>
      <c r="J12" s="141"/>
    </row>
    <row r="13" spans="2:25">
      <c r="B13" s="141"/>
      <c r="C13" s="141"/>
      <c r="D13" s="141"/>
      <c r="E13" s="141"/>
      <c r="F13" s="141"/>
      <c r="G13" s="141"/>
      <c r="H13" s="141"/>
      <c r="I13" s="141"/>
      <c r="K13" s="12"/>
    </row>
    <row r="14" spans="2:25">
      <c r="B14" s="141"/>
      <c r="C14" s="141"/>
      <c r="D14" s="141"/>
      <c r="E14" s="141"/>
      <c r="F14" s="141"/>
      <c r="G14" s="141"/>
      <c r="H14" s="141"/>
      <c r="I14" s="141"/>
    </row>
    <row r="15" spans="2:25">
      <c r="B15" s="141"/>
      <c r="C15" s="141"/>
      <c r="D15" s="141"/>
      <c r="E15" s="141"/>
      <c r="F15" s="141"/>
      <c r="G15" s="141"/>
      <c r="H15" s="141"/>
      <c r="I15" s="141"/>
    </row>
    <row r="16" spans="2:25">
      <c r="B16" s="12" t="s">
        <v>524</v>
      </c>
      <c r="C16" s="141"/>
      <c r="D16" s="141"/>
      <c r="E16" s="141"/>
      <c r="F16" s="141"/>
      <c r="G16" s="141"/>
      <c r="H16" s="141"/>
      <c r="I16" s="141"/>
      <c r="J16" s="141"/>
      <c r="W16" s="3"/>
    </row>
    <row r="17" spans="1:25">
      <c r="B17" s="141"/>
      <c r="C17" s="141"/>
      <c r="D17" s="141"/>
      <c r="E17" s="141"/>
      <c r="F17" s="141"/>
      <c r="G17" s="141"/>
      <c r="H17" s="141"/>
      <c r="I17" s="141"/>
      <c r="J17" s="141"/>
    </row>
    <row r="18" spans="1:25">
      <c r="B18" s="141"/>
      <c r="C18" s="141"/>
      <c r="D18" s="141"/>
      <c r="E18" s="141"/>
      <c r="F18" s="141"/>
      <c r="G18" s="141"/>
      <c r="H18" s="141"/>
      <c r="I18" s="141"/>
      <c r="J18" s="141"/>
    </row>
    <row r="19" spans="1:25">
      <c r="B19" s="141"/>
      <c r="C19" s="141"/>
      <c r="D19" s="141"/>
      <c r="E19" s="141"/>
      <c r="F19" s="141"/>
      <c r="G19" s="141"/>
      <c r="H19" s="141"/>
      <c r="I19" s="141"/>
      <c r="J19" s="141"/>
    </row>
    <row r="20" spans="1:25">
      <c r="B20" s="141"/>
      <c r="C20" s="141"/>
      <c r="D20" s="141"/>
      <c r="E20" s="141"/>
      <c r="F20" s="141"/>
      <c r="G20" s="141"/>
      <c r="H20" s="141"/>
      <c r="I20" s="141"/>
      <c r="J20" s="141"/>
    </row>
    <row r="21" spans="1:25">
      <c r="B21" s="141"/>
      <c r="C21" s="141"/>
      <c r="D21" s="141"/>
      <c r="E21" s="141"/>
      <c r="F21" s="141"/>
      <c r="G21" s="141"/>
      <c r="H21" s="141"/>
      <c r="I21" s="141"/>
      <c r="J21" s="141"/>
    </row>
    <row r="22" spans="1:25">
      <c r="B22" s="141"/>
      <c r="C22" s="141"/>
      <c r="D22" s="141"/>
      <c r="E22" s="141"/>
      <c r="F22" s="141"/>
      <c r="G22" s="141"/>
      <c r="H22" s="141"/>
      <c r="I22" s="352"/>
      <c r="J22" s="141"/>
    </row>
    <row r="23" spans="1:25">
      <c r="B23" s="141"/>
      <c r="C23" s="141"/>
      <c r="D23" s="141"/>
      <c r="E23" s="141"/>
      <c r="F23" s="141"/>
      <c r="G23" s="141"/>
      <c r="H23" s="141"/>
      <c r="I23" s="141"/>
      <c r="J23" s="141"/>
      <c r="S23" s="40"/>
      <c r="T23" s="4"/>
    </row>
    <row r="24" spans="1:25">
      <c r="B24" s="141"/>
      <c r="C24" s="141"/>
      <c r="D24" s="141"/>
      <c r="E24" s="141"/>
      <c r="F24" s="141"/>
      <c r="G24" s="141"/>
      <c r="H24" s="141"/>
      <c r="I24" s="141"/>
      <c r="J24" s="141"/>
    </row>
    <row r="25" spans="1:25">
      <c r="B25" s="141"/>
      <c r="C25" s="141"/>
      <c r="D25" s="141"/>
      <c r="E25" s="141"/>
      <c r="F25" s="141"/>
      <c r="G25" s="141"/>
      <c r="H25" s="141"/>
      <c r="I25" s="141"/>
      <c r="J25" s="141"/>
      <c r="S25" s="5"/>
    </row>
    <row r="26" spans="1:25">
      <c r="B26" s="141"/>
      <c r="C26" s="478"/>
      <c r="D26" s="141"/>
      <c r="E26" s="478"/>
      <c r="F26" s="141"/>
      <c r="G26" s="478"/>
      <c r="H26" s="489"/>
      <c r="I26" s="478"/>
      <c r="J26" s="141"/>
    </row>
    <row r="27" spans="1:25">
      <c r="B27" s="781" t="s">
        <v>801</v>
      </c>
      <c r="C27" s="478" t="s">
        <v>514</v>
      </c>
      <c r="D27" s="781" t="s">
        <v>802</v>
      </c>
      <c r="E27" s="478" t="s">
        <v>515</v>
      </c>
      <c r="F27" s="478" t="s">
        <v>803</v>
      </c>
      <c r="G27" s="141"/>
      <c r="H27" s="141"/>
      <c r="I27" s="142"/>
      <c r="J27" s="141"/>
      <c r="T27" s="142"/>
      <c r="U27" s="141"/>
      <c r="V27" s="141"/>
      <c r="W27" s="141"/>
    </row>
    <row r="28" spans="1:25">
      <c r="I28" s="141"/>
      <c r="J28" s="91"/>
      <c r="K28" s="91"/>
      <c r="L28" s="91"/>
      <c r="M28" s="91"/>
      <c r="N28" s="91"/>
      <c r="O28" s="91"/>
      <c r="P28" s="91"/>
    </row>
    <row r="29" spans="1:25" ht="21" thickBot="1">
      <c r="B29" s="362" t="s">
        <v>364</v>
      </c>
      <c r="C29" s="13"/>
      <c r="D29" s="13"/>
      <c r="E29" s="363"/>
      <c r="F29" s="13" t="s">
        <v>71</v>
      </c>
      <c r="G29" s="13"/>
      <c r="H29" s="13"/>
      <c r="I29" s="13"/>
      <c r="J29" s="364"/>
      <c r="K29" s="13"/>
      <c r="L29" s="13"/>
      <c r="M29" s="13"/>
      <c r="N29" s="13"/>
      <c r="O29" s="13"/>
      <c r="P29" s="13"/>
      <c r="Q29" s="446" t="s">
        <v>441</v>
      </c>
      <c r="R29" s="13"/>
      <c r="S29" s="13"/>
      <c r="T29" s="13"/>
      <c r="U29" s="13"/>
      <c r="V29" s="13"/>
      <c r="W29" s="13"/>
      <c r="X29" s="13"/>
      <c r="Y29" s="13"/>
    </row>
    <row r="30" spans="1:25" ht="15" customHeight="1" thickTop="1">
      <c r="A30" s="362"/>
      <c r="B30" s="447"/>
      <c r="C30" s="447"/>
      <c r="D30" s="448"/>
      <c r="E30" s="447"/>
      <c r="F30" s="447"/>
      <c r="G30" s="447"/>
      <c r="H30" s="447"/>
      <c r="I30" s="449"/>
      <c r="J30" s="447"/>
      <c r="K30" s="447"/>
      <c r="L30" s="447"/>
      <c r="M30" s="447"/>
      <c r="N30" s="447"/>
      <c r="O30" s="447"/>
      <c r="P30" s="447"/>
      <c r="Q30" s="447"/>
      <c r="R30" s="447"/>
      <c r="S30" s="447"/>
      <c r="T30" s="447"/>
      <c r="U30" s="447"/>
      <c r="V30" s="447"/>
      <c r="W30" s="447"/>
      <c r="X30" s="447"/>
      <c r="Y30" s="447"/>
    </row>
    <row r="31" spans="1:25" ht="15" customHeight="1">
      <c r="A31" s="362"/>
      <c r="B31" s="450" t="s">
        <v>303</v>
      </c>
      <c r="C31" s="451"/>
      <c r="D31" s="451"/>
      <c r="E31" s="433"/>
      <c r="F31" s="13"/>
      <c r="G31" s="13"/>
      <c r="H31" s="13"/>
      <c r="I31" s="364"/>
      <c r="J31" s="13"/>
      <c r="K31" s="416"/>
      <c r="L31" s="13"/>
      <c r="M31" s="13"/>
      <c r="N31" s="13"/>
      <c r="O31" s="13"/>
      <c r="P31" s="13"/>
      <c r="Q31" s="13"/>
      <c r="R31" s="13"/>
      <c r="S31" s="13"/>
      <c r="T31" s="13"/>
      <c r="U31" s="13"/>
      <c r="V31" s="13"/>
      <c r="W31" s="13"/>
      <c r="X31" s="13"/>
      <c r="Y31" s="13"/>
    </row>
    <row r="32" spans="1:25" ht="15" customHeight="1">
      <c r="A32" s="362"/>
      <c r="B32" s="1214" t="s">
        <v>430</v>
      </c>
      <c r="C32" s="1215"/>
      <c r="D32" s="518">
        <f>D33+设计主界面!K15</f>
        <v>0</v>
      </c>
      <c r="E32" s="365"/>
      <c r="F32" s="367"/>
      <c r="G32" s="1212" t="s">
        <v>433</v>
      </c>
      <c r="H32" s="1213"/>
      <c r="I32" s="838" t="e">
        <f>设计主界面!C35</f>
        <v>#N/A</v>
      </c>
      <c r="J32" s="368"/>
      <c r="K32" s="414"/>
      <c r="L32" s="367"/>
      <c r="M32" s="13"/>
      <c r="N32" s="13"/>
      <c r="O32" s="13"/>
      <c r="P32" s="13"/>
      <c r="Q32" s="13"/>
      <c r="R32" s="13"/>
      <c r="S32" s="13"/>
      <c r="T32" s="13"/>
      <c r="U32" s="13"/>
      <c r="V32" s="13"/>
      <c r="W32" s="13"/>
      <c r="X32" s="13"/>
    </row>
    <row r="33" spans="1:32" ht="15" customHeight="1">
      <c r="A33" s="362"/>
      <c r="B33" s="1214" t="s">
        <v>429</v>
      </c>
      <c r="C33" s="1215"/>
      <c r="D33" s="519">
        <f>设计主界面!J15</f>
        <v>0</v>
      </c>
      <c r="E33" s="365"/>
      <c r="F33" s="367"/>
      <c r="G33" s="1218" t="s">
        <v>370</v>
      </c>
      <c r="H33" s="1219"/>
      <c r="I33" s="837" t="e">
        <f>设计主界面!J39</f>
        <v>#N/A</v>
      </c>
      <c r="J33" s="368"/>
      <c r="K33" s="414"/>
      <c r="L33" s="367"/>
      <c r="M33" s="13"/>
      <c r="N33" s="13"/>
      <c r="O33" s="13"/>
      <c r="P33" s="13"/>
      <c r="Q33" s="13"/>
      <c r="R33" s="13"/>
      <c r="S33" s="13"/>
      <c r="T33" s="13"/>
      <c r="U33" s="13"/>
      <c r="V33" s="13"/>
      <c r="W33" s="13"/>
      <c r="X33" s="13"/>
    </row>
    <row r="34" spans="1:32" ht="15" customHeight="1">
      <c r="A34" s="362"/>
      <c r="B34" s="1214" t="s">
        <v>428</v>
      </c>
      <c r="C34" s="1215"/>
      <c r="D34" s="523">
        <v>0.15</v>
      </c>
      <c r="E34" s="365" t="s">
        <v>367</v>
      </c>
      <c r="F34" s="367"/>
      <c r="G34" s="1218" t="s">
        <v>489</v>
      </c>
      <c r="H34" s="1219"/>
      <c r="I34" s="841" t="e">
        <f>设计主界面!C41</f>
        <v>#N/A</v>
      </c>
      <c r="J34" s="368"/>
      <c r="K34" s="414"/>
      <c r="L34" s="367"/>
      <c r="M34" s="13"/>
      <c r="N34" s="13"/>
      <c r="O34" s="13"/>
      <c r="P34" s="13"/>
      <c r="Q34" s="13"/>
      <c r="R34" s="13"/>
      <c r="S34" s="13"/>
      <c r="T34" s="13"/>
      <c r="U34" s="13"/>
      <c r="V34" s="13"/>
      <c r="W34" s="13"/>
      <c r="X34" s="13"/>
    </row>
    <row r="35" spans="1:32" ht="15" customHeight="1">
      <c r="A35" s="362"/>
      <c r="B35" s="1214" t="s">
        <v>427</v>
      </c>
      <c r="C35" s="1215"/>
      <c r="D35" s="523">
        <v>0.15</v>
      </c>
      <c r="E35" s="365" t="s">
        <v>367</v>
      </c>
      <c r="F35" s="367"/>
      <c r="G35" s="1212" t="s">
        <v>371</v>
      </c>
      <c r="H35" s="1213"/>
      <c r="I35" s="841">
        <f>I36-设计主界面!F34</f>
        <v>0</v>
      </c>
      <c r="J35" s="368"/>
      <c r="K35" s="414"/>
      <c r="L35" s="367"/>
      <c r="M35" s="13"/>
      <c r="N35" s="13"/>
      <c r="O35" s="13"/>
      <c r="P35" s="13"/>
      <c r="Q35" s="415"/>
      <c r="R35" s="843"/>
      <c r="S35" s="13"/>
      <c r="T35" s="493"/>
      <c r="U35" s="13"/>
      <c r="V35" s="13"/>
      <c r="W35" s="13"/>
      <c r="X35" s="13"/>
    </row>
    <row r="36" spans="1:32" ht="16.149999999999999" customHeight="1">
      <c r="A36" s="362"/>
      <c r="B36" s="1216" t="s">
        <v>584</v>
      </c>
      <c r="C36" s="1217"/>
      <c r="D36" s="518" t="e">
        <f>设计主界面!J7</f>
        <v>#N/A</v>
      </c>
      <c r="E36" s="365"/>
      <c r="F36" s="367"/>
      <c r="G36" s="1212" t="s">
        <v>897</v>
      </c>
      <c r="H36" s="1213"/>
      <c r="I36" s="841">
        <f>设计主界面!E15</f>
        <v>0</v>
      </c>
      <c r="J36" s="368"/>
      <c r="K36" s="414"/>
      <c r="L36" s="367"/>
      <c r="M36" s="13"/>
      <c r="N36" s="13"/>
      <c r="O36" s="13"/>
      <c r="P36" s="13"/>
      <c r="Q36" s="13"/>
      <c r="R36" s="843"/>
      <c r="S36" s="464"/>
      <c r="T36" s="492"/>
      <c r="U36" s="494"/>
      <c r="V36" s="13"/>
      <c r="W36" s="13"/>
      <c r="X36" s="13"/>
    </row>
    <row r="37" spans="1:32" ht="15" customHeight="1">
      <c r="A37" s="362"/>
      <c r="B37" s="136" t="s">
        <v>431</v>
      </c>
      <c r="C37" s="137"/>
      <c r="D37" s="519">
        <f>极耳错位!E62</f>
        <v>0</v>
      </c>
      <c r="E37" s="365"/>
      <c r="F37" s="367"/>
      <c r="G37" s="1212" t="s">
        <v>434</v>
      </c>
      <c r="H37" s="1213"/>
      <c r="I37" s="842">
        <f>设计主界面!D15</f>
        <v>0</v>
      </c>
      <c r="J37" s="368"/>
      <c r="K37" s="414"/>
      <c r="L37" s="367"/>
      <c r="M37" s="13"/>
      <c r="N37" s="13"/>
      <c r="O37" s="13"/>
      <c r="P37" s="13"/>
      <c r="Q37" s="13"/>
      <c r="R37" s="13"/>
      <c r="S37" s="13"/>
      <c r="T37" s="13"/>
      <c r="U37" s="13"/>
      <c r="V37" s="13"/>
      <c r="W37" s="13"/>
      <c r="X37" s="13"/>
    </row>
    <row r="38" spans="1:32" ht="15" customHeight="1">
      <c r="A38" s="362"/>
      <c r="B38" s="136" t="s">
        <v>432</v>
      </c>
      <c r="C38" s="137"/>
      <c r="D38" s="519">
        <f>极耳错位!E62</f>
        <v>0</v>
      </c>
      <c r="E38" s="365"/>
      <c r="F38" s="367"/>
      <c r="G38" s="413"/>
      <c r="H38" s="413"/>
      <c r="I38" s="377"/>
      <c r="J38" s="368"/>
      <c r="K38" s="414"/>
      <c r="L38" s="367"/>
      <c r="M38" s="13"/>
      <c r="N38" s="13"/>
      <c r="O38" s="13"/>
      <c r="P38" s="13"/>
      <c r="Q38" s="13"/>
      <c r="R38" s="13"/>
      <c r="S38" s="13"/>
      <c r="T38" s="13"/>
      <c r="U38" s="13"/>
      <c r="V38" s="13"/>
      <c r="W38" s="13"/>
      <c r="X38" s="13"/>
    </row>
    <row r="39" spans="1:32" ht="15" customHeight="1">
      <c r="A39" s="362"/>
      <c r="B39" s="1209" t="s">
        <v>368</v>
      </c>
      <c r="C39" s="1210"/>
      <c r="D39" s="844" t="e">
        <f>设计主界面!$J$39+(设计主界面!$J$40+设计主界面!$D$29)+2*设计主界面!$C$41</f>
        <v>#N/A</v>
      </c>
      <c r="E39" s="365"/>
      <c r="F39" s="367"/>
      <c r="G39" s="413"/>
      <c r="H39" s="413"/>
      <c r="I39" s="377"/>
      <c r="J39" s="368"/>
      <c r="K39" s="414"/>
      <c r="L39" s="367"/>
      <c r="M39" s="13"/>
      <c r="N39" s="13"/>
      <c r="O39" s="13"/>
      <c r="P39" s="13"/>
      <c r="Q39" s="13"/>
      <c r="R39" s="13"/>
      <c r="S39" s="13"/>
      <c r="T39" s="13"/>
      <c r="U39" s="13"/>
      <c r="V39" s="13"/>
      <c r="W39" s="13"/>
      <c r="X39" s="13"/>
    </row>
    <row r="40" spans="1:32" ht="15" customHeight="1">
      <c r="A40" s="362"/>
      <c r="B40" s="1209" t="s">
        <v>369</v>
      </c>
      <c r="C40" s="1210"/>
      <c r="D40" s="844" t="e">
        <f>D39*PI()</f>
        <v>#N/A</v>
      </c>
      <c r="E40" s="365"/>
      <c r="F40" s="367"/>
      <c r="G40" s="413"/>
      <c r="H40" s="413"/>
      <c r="I40" s="377"/>
      <c r="J40" s="368"/>
      <c r="K40" s="367"/>
      <c r="M40" s="367"/>
      <c r="N40" s="13"/>
      <c r="O40" s="13"/>
      <c r="P40" s="13"/>
      <c r="Q40" s="13"/>
      <c r="R40" s="13"/>
      <c r="S40" s="13"/>
      <c r="T40" s="13"/>
      <c r="U40" s="13"/>
      <c r="V40" s="13"/>
      <c r="W40" s="13"/>
      <c r="X40" s="13"/>
      <c r="Y40" s="13"/>
    </row>
    <row r="41" spans="1:32" ht="15" customHeight="1">
      <c r="A41" s="362"/>
      <c r="B41" s="1209" t="s">
        <v>490</v>
      </c>
      <c r="C41" s="1210"/>
      <c r="D41" s="844" t="e">
        <f>+PI()*(设计主界面!$C$41+设计主界面!$J$39)</f>
        <v>#N/A</v>
      </c>
      <c r="E41" s="366"/>
      <c r="F41" s="367"/>
      <c r="G41" s="413"/>
      <c r="H41" s="413"/>
      <c r="I41" s="377"/>
      <c r="J41" s="368"/>
      <c r="K41" s="367"/>
      <c r="M41" s="367"/>
      <c r="N41" s="13"/>
      <c r="O41" s="13"/>
      <c r="P41" s="13"/>
      <c r="Q41" s="13"/>
      <c r="R41" s="13"/>
      <c r="S41" s="13"/>
      <c r="T41" s="13"/>
      <c r="U41" s="13"/>
      <c r="V41" s="13"/>
      <c r="W41" s="13"/>
      <c r="X41" s="13"/>
      <c r="Y41" s="13"/>
    </row>
    <row r="42" spans="1:32" ht="15" customHeight="1">
      <c r="A42" s="362"/>
      <c r="B42" s="467" t="s">
        <v>493</v>
      </c>
      <c r="C42" s="466"/>
      <c r="D42" s="524" t="s">
        <v>495</v>
      </c>
      <c r="E42" s="366"/>
      <c r="F42" s="367"/>
      <c r="G42" s="413"/>
      <c r="H42" s="413"/>
      <c r="I42" s="377"/>
      <c r="J42" s="368"/>
      <c r="K42" s="367"/>
      <c r="M42" s="367"/>
      <c r="N42" s="13"/>
      <c r="O42" s="13"/>
      <c r="P42" s="13"/>
      <c r="Q42" s="13"/>
      <c r="R42" s="13"/>
      <c r="S42" s="13"/>
      <c r="T42" s="13"/>
      <c r="U42" s="13"/>
      <c r="V42" s="13"/>
      <c r="W42" s="13"/>
      <c r="X42" s="13"/>
      <c r="Y42" s="13"/>
    </row>
    <row r="43" spans="1:32" ht="15" customHeight="1">
      <c r="A43" s="362"/>
      <c r="B43" s="467" t="s">
        <v>494</v>
      </c>
      <c r="C43" s="466"/>
      <c r="D43" s="524" t="s">
        <v>495</v>
      </c>
      <c r="E43" s="366"/>
      <c r="F43" s="367"/>
      <c r="G43" s="413"/>
      <c r="H43" s="413"/>
      <c r="I43" s="377"/>
      <c r="J43" s="368"/>
      <c r="K43" s="367"/>
      <c r="M43" s="367"/>
      <c r="N43" s="13"/>
      <c r="O43" s="13"/>
      <c r="P43" s="13"/>
      <c r="Q43" s="13"/>
      <c r="R43" s="13"/>
      <c r="S43" s="13"/>
      <c r="T43" s="13"/>
      <c r="U43" s="13"/>
      <c r="V43" s="13"/>
      <c r="W43" s="13"/>
      <c r="X43" s="13"/>
      <c r="Y43" s="13"/>
    </row>
    <row r="44" spans="1:32" ht="15" customHeight="1">
      <c r="A44" s="362"/>
      <c r="B44" s="13"/>
      <c r="C44" s="13"/>
      <c r="D44" s="363"/>
      <c r="E44" s="13"/>
      <c r="F44" s="13"/>
      <c r="G44" s="13"/>
      <c r="H44" s="13"/>
      <c r="I44" s="364"/>
      <c r="J44" s="13"/>
      <c r="K44" s="13"/>
      <c r="M44" s="13"/>
      <c r="N44" s="13"/>
      <c r="O44" s="13"/>
      <c r="P44" s="13"/>
      <c r="Q44" s="13"/>
      <c r="R44" s="13"/>
      <c r="S44" s="13"/>
      <c r="T44" s="13"/>
      <c r="U44" s="13"/>
      <c r="V44" s="13"/>
      <c r="W44" s="13"/>
      <c r="X44" s="13"/>
    </row>
    <row r="45" spans="1:32" ht="15" customHeight="1">
      <c r="A45" s="362"/>
      <c r="B45" s="358" t="s">
        <v>220</v>
      </c>
      <c r="C45" s="13"/>
      <c r="D45" s="363"/>
      <c r="E45" s="13"/>
      <c r="F45" s="13"/>
      <c r="G45" s="13"/>
      <c r="H45" s="13"/>
      <c r="I45" s="364"/>
      <c r="J45" s="13"/>
      <c r="K45" s="13"/>
      <c r="L45" s="13"/>
      <c r="M45" s="13"/>
      <c r="N45" s="13"/>
      <c r="O45" s="13"/>
      <c r="P45" s="13"/>
      <c r="Q45" s="13"/>
      <c r="R45" s="13"/>
      <c r="S45" s="13"/>
      <c r="T45" s="13"/>
      <c r="U45" s="13"/>
      <c r="V45" s="13"/>
      <c r="W45" s="13"/>
      <c r="X45" s="13"/>
    </row>
    <row r="46" spans="1:32" ht="15" customHeight="1" thickBot="1">
      <c r="A46" s="362"/>
      <c r="B46" s="359" t="s">
        <v>351</v>
      </c>
      <c r="C46" s="13"/>
      <c r="D46" s="363"/>
      <c r="E46" s="13"/>
      <c r="F46" s="13"/>
      <c r="G46" s="13"/>
      <c r="H46" s="13"/>
      <c r="I46" s="364"/>
      <c r="J46" s="13"/>
      <c r="K46" s="13"/>
      <c r="L46" s="13"/>
      <c r="M46" s="13"/>
      <c r="N46" s="13"/>
      <c r="O46" s="13"/>
      <c r="P46" s="13"/>
      <c r="Q46" s="13"/>
      <c r="R46" s="13"/>
      <c r="S46" s="13"/>
      <c r="T46" s="13"/>
      <c r="U46" s="13"/>
      <c r="V46" s="13"/>
      <c r="W46" s="13"/>
      <c r="X46" s="13"/>
    </row>
    <row r="47" spans="1:32" ht="15" customHeight="1">
      <c r="A47" s="362"/>
      <c r="B47" s="442" t="s">
        <v>385</v>
      </c>
      <c r="C47" s="520" t="e">
        <f>SUM(C53:C102)</f>
        <v>#N/A</v>
      </c>
      <c r="D47" s="438"/>
      <c r="E47" s="442" t="s">
        <v>385</v>
      </c>
      <c r="F47" s="520" t="e">
        <f>SUM(F53:F102)</f>
        <v>#N/A</v>
      </c>
      <c r="G47" s="438"/>
      <c r="H47" s="438"/>
      <c r="I47" s="438"/>
      <c r="J47" s="442" t="s">
        <v>385</v>
      </c>
      <c r="K47" s="520" t="e">
        <f>SUM(K53:K152)</f>
        <v>#N/A</v>
      </c>
      <c r="L47" s="438"/>
      <c r="M47" s="442" t="s">
        <v>385</v>
      </c>
      <c r="N47" s="520" t="e">
        <f>SUM(N53:N152)</f>
        <v>#N/A</v>
      </c>
      <c r="O47" s="13"/>
      <c r="P47" s="13"/>
      <c r="Q47" s="13"/>
      <c r="R47" s="13"/>
      <c r="S47" s="13"/>
      <c r="T47" s="13"/>
      <c r="U47" s="13"/>
      <c r="V47" s="13"/>
      <c r="W47" s="13"/>
      <c r="X47" s="13"/>
      <c r="Y47" s="13"/>
      <c r="Z47" s="13"/>
      <c r="AA47" s="13"/>
      <c r="AB47" s="13"/>
      <c r="AC47" s="13"/>
      <c r="AD47" s="13"/>
      <c r="AE47" s="13"/>
      <c r="AF47" s="13"/>
    </row>
    <row r="48" spans="1:32" ht="15" customHeight="1">
      <c r="A48" s="362"/>
      <c r="B48" s="443" t="s">
        <v>426</v>
      </c>
      <c r="C48" s="521" t="e">
        <f>($D$38/2+$D$36+IF(设计主界面!$Q$20="间歇",INT((设计主界面!$D$15-1)/2)*$D$40/2,INT((设计主界面!$D$15+1)/2)*$D$40/2))/IF($D$43="先模切后冷压",1+设计主界面!$O$19,1)</f>
        <v>#N/A</v>
      </c>
      <c r="D48" s="439"/>
      <c r="E48" s="443" t="s">
        <v>426</v>
      </c>
      <c r="F48" s="521" t="e">
        <f>($I$32/2-$D$36-$D$37/2+INT((设计主界面!$D$15-1)/2)*$D$40/2+$D$41/2-设计主界面!$K$15)/IF($D$42="先模切后冷压",1+设计主界面!$O$20,1)</f>
        <v>#N/A</v>
      </c>
      <c r="G48" s="439"/>
      <c r="H48" s="439"/>
      <c r="I48" s="439"/>
      <c r="J48" s="443" t="s">
        <v>426</v>
      </c>
      <c r="K48" s="521" t="e">
        <f>($D$38/2+$D$36+IF(设计主界面!$Q$20="间歇",INT((设计主界面!$D$15-1)/2)*$D$40/2,INT((设计主界面!$D$15+1)/2)*$D$40/2))/IF($D$43="先模切后冷压",1+设计主界面!$O$19,1)</f>
        <v>#N/A</v>
      </c>
      <c r="L48" s="439"/>
      <c r="M48" s="443" t="s">
        <v>426</v>
      </c>
      <c r="N48" s="521" t="e">
        <f>($I$32/2-$D$36-$D$37/2+INT((设计主界面!$D$15-1)/2)*$D$40/2+$D$41/2-设计主界面!$K$15)/IF($D$42="先模切后冷压",1+设计主界面!$O$20,1)</f>
        <v>#N/A</v>
      </c>
      <c r="O48" s="13"/>
      <c r="P48" s="13"/>
      <c r="Q48" s="13"/>
      <c r="R48" s="13"/>
      <c r="S48" s="13"/>
      <c r="T48" s="13"/>
      <c r="U48" s="13"/>
      <c r="V48" s="13"/>
      <c r="W48" s="13"/>
      <c r="X48" s="13"/>
      <c r="Y48" s="13"/>
      <c r="Z48" s="13"/>
      <c r="AA48" s="13"/>
      <c r="AB48" s="13"/>
      <c r="AC48" s="13"/>
      <c r="AD48" s="13"/>
      <c r="AE48" s="13"/>
      <c r="AF48" s="13"/>
    </row>
    <row r="49" spans="1:32" ht="15" customHeight="1">
      <c r="A49" s="362"/>
      <c r="B49" s="444" t="s">
        <v>384</v>
      </c>
      <c r="C49" s="522">
        <f>COUNT(C53:C102)-1</f>
        <v>-1</v>
      </c>
      <c r="D49" s="437"/>
      <c r="E49" s="444" t="s">
        <v>384</v>
      </c>
      <c r="F49" s="522">
        <f>COUNT(F53:F102)-1</f>
        <v>-1</v>
      </c>
      <c r="G49" s="437"/>
      <c r="H49" s="437"/>
      <c r="I49" s="437"/>
      <c r="J49" s="444" t="s">
        <v>384</v>
      </c>
      <c r="K49" s="522">
        <f>COUNT(K53:K152)-1</f>
        <v>-1</v>
      </c>
      <c r="L49" s="437"/>
      <c r="M49" s="444" t="s">
        <v>384</v>
      </c>
      <c r="N49" s="522">
        <f>COUNT(N53:N152)-1</f>
        <v>-1</v>
      </c>
      <c r="O49" s="13"/>
      <c r="P49" s="13"/>
      <c r="Q49" s="13"/>
      <c r="R49" s="13"/>
      <c r="S49" s="13"/>
      <c r="T49" s="13"/>
      <c r="U49" s="13"/>
      <c r="V49" s="13"/>
      <c r="W49" s="13"/>
      <c r="X49" s="13"/>
      <c r="Y49" s="13"/>
      <c r="Z49" s="13"/>
      <c r="AA49" s="13"/>
      <c r="AB49" s="13"/>
      <c r="AC49" s="13"/>
      <c r="AD49" s="13"/>
      <c r="AE49" s="13"/>
      <c r="AF49" s="13"/>
    </row>
    <row r="50" spans="1:32" ht="15" customHeight="1">
      <c r="A50" s="362"/>
      <c r="B50" s="443" t="s">
        <v>306</v>
      </c>
      <c r="C50" s="522">
        <f>IF(设计主界面!$Q$20="间歇",设计主界面!$D$15/2+1,(设计主界面!$D$15+2)/2+1)</f>
        <v>2</v>
      </c>
      <c r="D50" s="439"/>
      <c r="E50" s="443" t="s">
        <v>306</v>
      </c>
      <c r="F50" s="522">
        <f>设计主界面!$D$15/2+1</f>
        <v>1</v>
      </c>
      <c r="G50" s="439"/>
      <c r="H50" s="439"/>
      <c r="I50" s="439"/>
      <c r="J50" s="443" t="s">
        <v>306</v>
      </c>
      <c r="K50" s="522">
        <f>IF(设计主界面!$Q$20="间歇",设计主界面!$D$15,设计主界面!$D$15+2)</f>
        <v>2</v>
      </c>
      <c r="L50" s="439"/>
      <c r="M50" s="443" t="s">
        <v>306</v>
      </c>
      <c r="N50" s="522">
        <f>设计主界面!$D$15+1</f>
        <v>1</v>
      </c>
      <c r="O50" s="13"/>
      <c r="P50" s="13"/>
      <c r="Q50" s="13"/>
      <c r="R50" s="13"/>
      <c r="S50" s="13"/>
      <c r="T50" s="13"/>
      <c r="U50" s="13"/>
      <c r="V50" s="13"/>
      <c r="W50" s="13"/>
      <c r="X50" s="13"/>
      <c r="Y50" s="13"/>
      <c r="Z50" s="13"/>
      <c r="AA50" s="13"/>
      <c r="AB50" s="13"/>
      <c r="AC50" s="13"/>
      <c r="AD50" s="13"/>
      <c r="AE50" s="13"/>
      <c r="AF50" s="13"/>
    </row>
    <row r="51" spans="1:32">
      <c r="B51" s="1222" t="s">
        <v>442</v>
      </c>
      <c r="C51" s="1223"/>
      <c r="D51" s="432"/>
      <c r="E51" s="1222" t="s">
        <v>443</v>
      </c>
      <c r="F51" s="1223"/>
      <c r="G51" s="238"/>
      <c r="H51" s="238"/>
      <c r="I51" s="238"/>
      <c r="J51" s="1222" t="s">
        <v>444</v>
      </c>
      <c r="K51" s="1223"/>
      <c r="L51" s="420"/>
      <c r="M51" s="1222" t="s">
        <v>445</v>
      </c>
      <c r="N51" s="1223"/>
      <c r="U51" s="1221" t="s">
        <v>11</v>
      </c>
      <c r="V51" s="1211" t="s">
        <v>8</v>
      </c>
      <c r="W51" s="1211"/>
      <c r="X51" s="1211" t="s">
        <v>9</v>
      </c>
      <c r="Y51" s="1211"/>
      <c r="Z51" s="1220" t="s">
        <v>350</v>
      </c>
      <c r="AA51" s="1221"/>
      <c r="AB51" s="1221" t="s">
        <v>221</v>
      </c>
      <c r="AC51" s="1221"/>
    </row>
    <row r="52" spans="1:32" ht="30.75" thickBot="1">
      <c r="B52" s="1224"/>
      <c r="C52" s="1225"/>
      <c r="D52" s="238"/>
      <c r="E52" s="1224"/>
      <c r="F52" s="1225"/>
      <c r="G52" s="238"/>
      <c r="H52" s="238"/>
      <c r="I52" s="238"/>
      <c r="J52" s="1224"/>
      <c r="K52" s="1225"/>
      <c r="L52" s="238"/>
      <c r="M52" s="1224"/>
      <c r="N52" s="1225"/>
      <c r="U52" s="1221"/>
      <c r="V52" s="349" t="s">
        <v>12</v>
      </c>
      <c r="W52" s="349" t="s">
        <v>13</v>
      </c>
      <c r="X52" s="349" t="s">
        <v>12</v>
      </c>
      <c r="Y52" s="349" t="s">
        <v>13</v>
      </c>
      <c r="Z52" s="348" t="s">
        <v>8</v>
      </c>
      <c r="AA52" s="348" t="s">
        <v>9</v>
      </c>
      <c r="AB52" s="348" t="s">
        <v>8</v>
      </c>
      <c r="AC52" s="348" t="s">
        <v>9</v>
      </c>
    </row>
    <row r="53" spans="1:32" ht="13.9" customHeight="1">
      <c r="B53" s="440" t="s">
        <v>14</v>
      </c>
      <c r="C53" s="441" t="e">
        <f>($I$32-$D$33-$D$36-$D$38/2)/IF($D$43="先模切后冷压",1+设计主界面!$O$19,1)</f>
        <v>#N/A</v>
      </c>
      <c r="D53" s="418"/>
      <c r="E53" s="440" t="s">
        <v>14</v>
      </c>
      <c r="F53" s="441" t="e">
        <f>($AA$53+$D$41/2+$D$36+$D$37/2)/IF($D$42="先模切后冷压",1+设计主界面!$O$20,1)</f>
        <v>#N/A</v>
      </c>
      <c r="G53" s="423"/>
      <c r="H53" s="424"/>
      <c r="I53" s="421"/>
      <c r="J53" s="440" t="s">
        <v>14</v>
      </c>
      <c r="K53" s="441" t="e">
        <f>($I$32-$D$33-$D$36-$D$38/2)/IF($D$43="先模切后冷压",1+设计主界面!$O$19,1)</f>
        <v>#N/A</v>
      </c>
      <c r="L53" s="418"/>
      <c r="M53" s="440" t="s">
        <v>14</v>
      </c>
      <c r="N53" s="441" t="e">
        <f>($I$32/2-$D$32-$D$36-$D$37/2)/IF($D$42="先模切后冷压",1+设计主界面!$O$20,1)</f>
        <v>#N/A</v>
      </c>
      <c r="O53" s="465"/>
      <c r="U53" s="139">
        <v>1</v>
      </c>
      <c r="V53" s="149" t="e">
        <f>$I$32/2+INT((U53-1)/2)*$D$40/2-$D$33</f>
        <v>#N/A</v>
      </c>
      <c r="W53" s="149" t="e">
        <f>V53</f>
        <v>#N/A</v>
      </c>
      <c r="X53" s="150" t="e">
        <f>$I$32/2+INT((U53-1)/2)*$D$40/2+$D$41/2-$D$32</f>
        <v>#N/A</v>
      </c>
      <c r="Y53" s="149" t="e">
        <f>X53</f>
        <v>#N/A</v>
      </c>
      <c r="Z53" s="151" t="e">
        <f>V53</f>
        <v>#N/A</v>
      </c>
      <c r="AA53" s="152" t="e">
        <f>X53</f>
        <v>#N/A</v>
      </c>
      <c r="AB53" s="149" t="e">
        <f>Z53</f>
        <v>#N/A</v>
      </c>
      <c r="AC53" s="149" t="e">
        <f>AA53</f>
        <v>#N/A</v>
      </c>
    </row>
    <row r="54" spans="1:32">
      <c r="B54" s="144" t="s">
        <v>15</v>
      </c>
      <c r="C54" s="406" t="e">
        <f>($I$32+$D$40+$D$34)/IF($D$43="先模切后冷压",1+设计主界面!$O$19,1)</f>
        <v>#N/A</v>
      </c>
      <c r="D54" s="418"/>
      <c r="E54" s="144" t="s">
        <v>15</v>
      </c>
      <c r="F54" s="406" t="e">
        <f>($I$32+$D$40+$D$41*2+$D$35)/IF($D$42="先模切后冷压",1+设计主界面!$O$20,1)</f>
        <v>#N/A</v>
      </c>
      <c r="G54" s="423"/>
      <c r="H54" s="424"/>
      <c r="I54" s="421"/>
      <c r="J54" s="144" t="s">
        <v>15</v>
      </c>
      <c r="K54" s="406" t="e">
        <f>IF(VALUE(MID(J54,2,3))&gt;$K$50,"",IF(VALUE(MID(J54,2,3))=$K$50,$K$48,($D$36*2+$D$38+$D$34/2)/IF($D$43="先模切后冷压",1+设计主界面!$O$19,1)))</f>
        <v>#N/A</v>
      </c>
      <c r="L54" s="418"/>
      <c r="M54" s="144" t="s">
        <v>15</v>
      </c>
      <c r="N54" s="406" t="str">
        <f>IF(VALUE(MID(M54,2,3))&gt;$N$50,"",IF(VALUE(MID(M54,2,3))=$N$50,$N$48,($D$36*2+$D$37+$D$41)/IF($D$42="先模切后冷压",1+设计主界面!$O$20,1)))</f>
        <v/>
      </c>
      <c r="O54" s="465"/>
      <c r="U54" s="139">
        <v>2</v>
      </c>
      <c r="V54" s="149" t="e">
        <f t="shared" ref="V54:V85" si="0">$I$32/2+INT((U53-1)/2)*$D$40/2+INT((U54-1)/2)*$D$40/2</f>
        <v>#N/A</v>
      </c>
      <c r="W54" s="149" t="e">
        <f t="shared" ref="W54:W117" si="1">V54+W53</f>
        <v>#N/A</v>
      </c>
      <c r="X54" s="150" t="e">
        <f t="shared" ref="X54:X85" si="2">$I$32/2+INT((U53-1)/2)*$D$40/2+$D$41/2+INT((U54-1)/2)*$D$40/2+$D$41/2</f>
        <v>#N/A</v>
      </c>
      <c r="Y54" s="149" t="e">
        <f t="shared" ref="Y54:Y117" si="3">X54+Y53</f>
        <v>#N/A</v>
      </c>
      <c r="Z54" s="151" t="e">
        <f>V54</f>
        <v>#N/A</v>
      </c>
      <c r="AA54" s="152" t="e">
        <f>X54</f>
        <v>#N/A</v>
      </c>
      <c r="AB54" s="149" t="e">
        <f t="shared" ref="AB54:AB85" si="4">AB53+Z54</f>
        <v>#N/A</v>
      </c>
      <c r="AC54" s="149" t="e">
        <f t="shared" ref="AC54:AC85" si="5">AC53+AA54</f>
        <v>#N/A</v>
      </c>
    </row>
    <row r="55" spans="1:32">
      <c r="B55" s="144" t="s">
        <v>16</v>
      </c>
      <c r="C55" s="406" t="str">
        <f>IF(VALUE(MID(B55,2,3))&gt;$C$50,"",IF(VALUE(MID(B55,2,3))=$C$50,$C$48,(C54+$D$40*2+$D$34)/IF($D$43="先模切后冷压",1+设计主界面!$O$19,1)))</f>
        <v/>
      </c>
      <c r="D55" s="418"/>
      <c r="E55" s="144" t="s">
        <v>16</v>
      </c>
      <c r="F55" s="406" t="str">
        <f>IF(VALUE(MID(E55,2,3))&gt;$F$50,"",IF(VALUE(MID(E55,2,3))=$F$50,$F$48,(F54+$D$40*2+$D$35)/IF($D$42="先模切后冷压",1+设计主界面!$O$20,1)))</f>
        <v/>
      </c>
      <c r="G55" s="423"/>
      <c r="H55" s="424"/>
      <c r="I55" s="421"/>
      <c r="J55" s="144" t="s">
        <v>16</v>
      </c>
      <c r="K55" s="406" t="str">
        <f>IF(VALUE(MID(J55,2,3))&gt;$K$50,"",IF(VALUE(MID(J55,2,3))=$K$50,$K$48,(($D$38/2+$I$35+$D$37+$D$36)*2+$D$40+$D$34/2)/IF($D$43="先模切后冷压",1+设计主界面!$O$19,1)))</f>
        <v/>
      </c>
      <c r="L55" s="418"/>
      <c r="M55" s="144" t="s">
        <v>16</v>
      </c>
      <c r="N55" s="406" t="str">
        <f>IF(VALUE(MID(M55,2,3))&gt;$N$50,"",IF(VALUE(MID(M55,2,3))=$N$50,$N$48,(($D$37/2+$I$35+$D$38+$D$36)*2+$D$35/2+$D$41)/IF($D$42="先模切后冷压",1+设计主界面!$O$20,1)))</f>
        <v/>
      </c>
      <c r="O55" s="465"/>
      <c r="U55" s="139">
        <v>3</v>
      </c>
      <c r="V55" s="149" t="e">
        <f t="shared" si="0"/>
        <v>#N/A</v>
      </c>
      <c r="W55" s="149" t="e">
        <f t="shared" si="1"/>
        <v>#N/A</v>
      </c>
      <c r="X55" s="150" t="e">
        <f t="shared" si="2"/>
        <v>#N/A</v>
      </c>
      <c r="Y55" s="149" t="e">
        <f t="shared" si="3"/>
        <v>#N/A</v>
      </c>
      <c r="Z55" s="151" t="e">
        <f t="shared" ref="Z55:Z86" si="6">V55+INT((U55-1)/2)*$D$34/2</f>
        <v>#N/A</v>
      </c>
      <c r="AA55" s="152" t="e">
        <f t="shared" ref="AA55:AA86" si="7">X55+INT((U55-1)/2)/2*$D$35</f>
        <v>#N/A</v>
      </c>
      <c r="AB55" s="149" t="e">
        <f t="shared" si="4"/>
        <v>#N/A</v>
      </c>
      <c r="AC55" s="149" t="e">
        <f t="shared" si="5"/>
        <v>#N/A</v>
      </c>
    </row>
    <row r="56" spans="1:32">
      <c r="B56" s="144" t="s">
        <v>17</v>
      </c>
      <c r="C56" s="406" t="str">
        <f>IF(VALUE(MID(B56,2,3))&gt;$C$50,"",IF(VALUE(MID(B56,2,3))=$C$50,$C$48,(C55+$D$40*2+$D$34)/IF($D$43="先模切后冷压",1+设计主界面!$O$19,1)))</f>
        <v/>
      </c>
      <c r="D56" s="418"/>
      <c r="E56" s="144" t="s">
        <v>17</v>
      </c>
      <c r="F56" s="406" t="str">
        <f>IF(VALUE(MID(E56,2,3))&gt;$F$50,"",IF(VALUE(MID(E56,2,3))=$F$50,$F$48,(F55+$D$40*2+$D$35)/IF($D$42="先模切后冷压",1+设计主界面!$O$20,1)))</f>
        <v/>
      </c>
      <c r="G56" s="423"/>
      <c r="H56" s="424"/>
      <c r="I56" s="421"/>
      <c r="J56" s="144" t="s">
        <v>17</v>
      </c>
      <c r="K56" s="406" t="str">
        <f>IF(VALUE(MID(J56,2,3))&gt;$K$50,"",IF(VALUE(MID(J56,2,3))=$K$50,$K$48,(K54+$D$40+$D$34/2)/IF($D$43="先模切后冷压",1+设计主界面!$O$19,1)))</f>
        <v/>
      </c>
      <c r="L56" s="418"/>
      <c r="M56" s="144" t="s">
        <v>17</v>
      </c>
      <c r="N56" s="406" t="str">
        <f>IF(VALUE(MID(M56,2,3))&gt;$N$50,"",IF(VALUE(MID(M56,2,3))=$N$50,$N$48,(N54+$D$40+$D$35/2)/IF($D$42="先模切后冷压",1+设计主界面!$O$20,1)))</f>
        <v/>
      </c>
      <c r="O56" s="465"/>
      <c r="U56" s="139">
        <v>4</v>
      </c>
      <c r="V56" s="149" t="e">
        <f t="shared" si="0"/>
        <v>#N/A</v>
      </c>
      <c r="W56" s="149" t="e">
        <f>V56+W55</f>
        <v>#N/A</v>
      </c>
      <c r="X56" s="150" t="e">
        <f t="shared" si="2"/>
        <v>#N/A</v>
      </c>
      <c r="Y56" s="149" t="e">
        <f t="shared" si="3"/>
        <v>#N/A</v>
      </c>
      <c r="Z56" s="151" t="e">
        <f>V56+INT((U56-1)/2)*$D$34/2</f>
        <v>#N/A</v>
      </c>
      <c r="AA56" s="152" t="e">
        <f t="shared" si="7"/>
        <v>#N/A</v>
      </c>
      <c r="AB56" s="149" t="e">
        <f t="shared" si="4"/>
        <v>#N/A</v>
      </c>
      <c r="AC56" s="149" t="e">
        <f t="shared" si="5"/>
        <v>#N/A</v>
      </c>
    </row>
    <row r="57" spans="1:32">
      <c r="B57" s="144" t="s">
        <v>18</v>
      </c>
      <c r="C57" s="406" t="str">
        <f>IF(VALUE(MID(B57,2,3))&gt;$C$50,"",IF(VALUE(MID(B57,2,3))=$C$50,$C$48,(C56+$D$40*2+$D$34)/IF($D$43="先模切后冷压",1+设计主界面!$O$19,1)))</f>
        <v/>
      </c>
      <c r="D57" s="418"/>
      <c r="E57" s="144" t="s">
        <v>18</v>
      </c>
      <c r="F57" s="406" t="str">
        <f>IF(VALUE(MID(E57,2,3))&gt;$F$50,"",IF(VALUE(MID(E57,2,3))=$F$50,$F$48,(F56+$D$40*2+$D$35)/IF($D$42="先模切后冷压",1+设计主界面!$O$20,1)))</f>
        <v/>
      </c>
      <c r="G57" s="423"/>
      <c r="H57" s="424"/>
      <c r="I57" s="421"/>
      <c r="J57" s="144" t="s">
        <v>18</v>
      </c>
      <c r="K57" s="406" t="str">
        <f>IF(VALUE(MID(J57,2,3))&gt;$K$50,"",IF(VALUE(MID(J57,2,3))=$K$50,$K$48,(K55+$D$40+$D$34/2)/IF($D$43="先模切后冷压",1+设计主界面!$O$19,1)))</f>
        <v/>
      </c>
      <c r="L57" s="418"/>
      <c r="M57" s="144" t="s">
        <v>18</v>
      </c>
      <c r="N57" s="406" t="str">
        <f>IF(VALUE(MID(M57,2,3))&gt;$N$50,"",IF(VALUE(MID(M57,2,3))=$N$50,$N$48,(N55+$D$40+$D$35/2)/IF($D$42="先模切后冷压",1+设计主界面!$O$20,1)))</f>
        <v/>
      </c>
      <c r="O57" s="465"/>
      <c r="U57" s="139">
        <v>5</v>
      </c>
      <c r="V57" s="149" t="e">
        <f t="shared" si="0"/>
        <v>#N/A</v>
      </c>
      <c r="W57" s="149" t="e">
        <f t="shared" si="1"/>
        <v>#N/A</v>
      </c>
      <c r="X57" s="150" t="e">
        <f t="shared" si="2"/>
        <v>#N/A</v>
      </c>
      <c r="Y57" s="149" t="e">
        <f t="shared" si="3"/>
        <v>#N/A</v>
      </c>
      <c r="Z57" s="151" t="e">
        <f t="shared" si="6"/>
        <v>#N/A</v>
      </c>
      <c r="AA57" s="152" t="e">
        <f t="shared" si="7"/>
        <v>#N/A</v>
      </c>
      <c r="AB57" s="149" t="e">
        <f t="shared" si="4"/>
        <v>#N/A</v>
      </c>
      <c r="AC57" s="149" t="e">
        <f t="shared" si="5"/>
        <v>#N/A</v>
      </c>
    </row>
    <row r="58" spans="1:32">
      <c r="B58" s="144" t="s">
        <v>19</v>
      </c>
      <c r="C58" s="406" t="str">
        <f>IF(VALUE(MID(B58,2,3))&gt;$C$50,"",IF(VALUE(MID(B58,2,3))=$C$50,$C$48,(C57+$D$40*2+$D$34)/IF($D$43="先模切后冷压",1+设计主界面!$O$19,1)))</f>
        <v/>
      </c>
      <c r="D58" s="418"/>
      <c r="E58" s="144" t="s">
        <v>19</v>
      </c>
      <c r="F58" s="406" t="str">
        <f>IF(VALUE(MID(E58,2,3))&gt;$F$50,"",IF(VALUE(MID(E58,2,3))=$F$50,$F$48,(F57+$D$40*2+$D$35)/IF($D$42="先模切后冷压",1+设计主界面!$O$20,1)))</f>
        <v/>
      </c>
      <c r="G58" s="423"/>
      <c r="H58" s="424"/>
      <c r="I58" s="421"/>
      <c r="J58" s="144" t="s">
        <v>19</v>
      </c>
      <c r="K58" s="406" t="str">
        <f>IF(VALUE(MID(J58,2,3))&gt;$K$50,"",IF(VALUE(MID(J58,2,3))=$K$50,$K$48,(K56+$D$40+$D$34/2)/IF($D$43="先模切后冷压",1+设计主界面!$O$19,1)))</f>
        <v/>
      </c>
      <c r="L58" s="418"/>
      <c r="M58" s="144" t="s">
        <v>19</v>
      </c>
      <c r="N58" s="406" t="str">
        <f>IF(VALUE(MID(M58,2,3))&gt;$N$50,"",IF(VALUE(MID(M58,2,3))=$N$50,$N$48,(N56+$D$40+$D$35/2)/IF($D$42="先模切后冷压",1+设计主界面!$O$20,1)))</f>
        <v/>
      </c>
      <c r="O58" s="465"/>
      <c r="U58" s="139">
        <v>6</v>
      </c>
      <c r="V58" s="149" t="e">
        <f t="shared" si="0"/>
        <v>#N/A</v>
      </c>
      <c r="W58" s="149" t="e">
        <f t="shared" si="1"/>
        <v>#N/A</v>
      </c>
      <c r="X58" s="150" t="e">
        <f t="shared" si="2"/>
        <v>#N/A</v>
      </c>
      <c r="Y58" s="149" t="e">
        <f t="shared" si="3"/>
        <v>#N/A</v>
      </c>
      <c r="Z58" s="151" t="e">
        <f t="shared" si="6"/>
        <v>#N/A</v>
      </c>
      <c r="AA58" s="152" t="e">
        <f t="shared" si="7"/>
        <v>#N/A</v>
      </c>
      <c r="AB58" s="149" t="e">
        <f t="shared" si="4"/>
        <v>#N/A</v>
      </c>
      <c r="AC58" s="149" t="e">
        <f t="shared" si="5"/>
        <v>#N/A</v>
      </c>
    </row>
    <row r="59" spans="1:32">
      <c r="B59" s="144" t="s">
        <v>20</v>
      </c>
      <c r="C59" s="406" t="str">
        <f>IF(VALUE(MID(B59,2,3))&gt;$C$50,"",IF(VALUE(MID(B59,2,3))=$C$50,$C$48,(C58+$D$40*2+$D$34)/IF($D$43="先模切后冷压",1+设计主界面!$O$19,1)))</f>
        <v/>
      </c>
      <c r="D59" s="418"/>
      <c r="E59" s="144" t="s">
        <v>20</v>
      </c>
      <c r="F59" s="406" t="str">
        <f>IF(VALUE(MID(E59,2,3))&gt;$F$50,"",IF(VALUE(MID(E59,2,3))=$F$50,$F$48,(F58+$D$40*2+$D$35)/IF($D$42="先模切后冷压",1+设计主界面!$O$20,1)))</f>
        <v/>
      </c>
      <c r="G59" s="423"/>
      <c r="H59" s="424"/>
      <c r="I59" s="421"/>
      <c r="J59" s="144" t="s">
        <v>20</v>
      </c>
      <c r="K59" s="406" t="str">
        <f>IF(VALUE(MID(J59,2,3))&gt;$K$50,"",IF(VALUE(MID(J59,2,3))=$K$50,$K$48,(K57+$D$40+$D$34/2)/IF($D$43="先模切后冷压",1+设计主界面!$O$19,1)))</f>
        <v/>
      </c>
      <c r="L59" s="418"/>
      <c r="M59" s="144" t="s">
        <v>20</v>
      </c>
      <c r="N59" s="406" t="str">
        <f>IF(VALUE(MID(M59,2,3))&gt;$N$50,"",IF(VALUE(MID(M59,2,3))=$N$50,$N$48,(N57+$D$40+$D$35/2)/IF($D$42="先模切后冷压",1+设计主界面!$O$20,1)))</f>
        <v/>
      </c>
      <c r="O59" s="465"/>
      <c r="U59" s="139">
        <v>7</v>
      </c>
      <c r="V59" s="149" t="e">
        <f t="shared" si="0"/>
        <v>#N/A</v>
      </c>
      <c r="W59" s="149" t="e">
        <f t="shared" si="1"/>
        <v>#N/A</v>
      </c>
      <c r="X59" s="150" t="e">
        <f t="shared" si="2"/>
        <v>#N/A</v>
      </c>
      <c r="Y59" s="149" t="e">
        <f t="shared" si="3"/>
        <v>#N/A</v>
      </c>
      <c r="Z59" s="151" t="e">
        <f t="shared" si="6"/>
        <v>#N/A</v>
      </c>
      <c r="AA59" s="152" t="e">
        <f t="shared" si="7"/>
        <v>#N/A</v>
      </c>
      <c r="AB59" s="149" t="e">
        <f t="shared" si="4"/>
        <v>#N/A</v>
      </c>
      <c r="AC59" s="149" t="e">
        <f t="shared" si="5"/>
        <v>#N/A</v>
      </c>
    </row>
    <row r="60" spans="1:32">
      <c r="B60" s="144" t="s">
        <v>21</v>
      </c>
      <c r="C60" s="406" t="str">
        <f>IF(VALUE(MID(B60,2,3))&gt;$C$50,"",IF(VALUE(MID(B60,2,3))=$C$50,$C$48,(C59+$D$40*2+$D$34)/IF($D$43="先模切后冷压",1+设计主界面!$O$19,1)))</f>
        <v/>
      </c>
      <c r="D60" s="418"/>
      <c r="E60" s="144" t="s">
        <v>21</v>
      </c>
      <c r="F60" s="406" t="str">
        <f>IF(VALUE(MID(E60,2,3))&gt;$F$50,"",IF(VALUE(MID(E60,2,3))=$F$50,$F$48,(F59+$D$40*2+$D$35)/IF($D$42="先模切后冷压",1+设计主界面!$O$20,1)))</f>
        <v/>
      </c>
      <c r="G60" s="423"/>
      <c r="H60" s="424"/>
      <c r="I60" s="421"/>
      <c r="J60" s="144" t="s">
        <v>21</v>
      </c>
      <c r="K60" s="406" t="str">
        <f>IF(VALUE(MID(J60,2,3))&gt;$K$50,"",IF(VALUE(MID(J60,2,3))=$K$50,$K$48,(K58+$D$40+$D$34/2)/IF($D$43="先模切后冷压",1+设计主界面!$O$19,1)))</f>
        <v/>
      </c>
      <c r="L60" s="418"/>
      <c r="M60" s="144" t="s">
        <v>21</v>
      </c>
      <c r="N60" s="406" t="str">
        <f>IF(VALUE(MID(M60,2,3))&gt;$N$50,"",IF(VALUE(MID(M60,2,3))=$N$50,$N$48,(N58+$D$40+$D$35/2)/IF($D$42="先模切后冷压",1+设计主界面!$O$20,1)))</f>
        <v/>
      </c>
      <c r="O60" s="465"/>
      <c r="U60" s="139">
        <v>8</v>
      </c>
      <c r="V60" s="149" t="e">
        <f t="shared" si="0"/>
        <v>#N/A</v>
      </c>
      <c r="W60" s="149" t="e">
        <f t="shared" si="1"/>
        <v>#N/A</v>
      </c>
      <c r="X60" s="150" t="e">
        <f t="shared" si="2"/>
        <v>#N/A</v>
      </c>
      <c r="Y60" s="149" t="e">
        <f t="shared" si="3"/>
        <v>#N/A</v>
      </c>
      <c r="Z60" s="151" t="e">
        <f t="shared" si="6"/>
        <v>#N/A</v>
      </c>
      <c r="AA60" s="152" t="e">
        <f t="shared" si="7"/>
        <v>#N/A</v>
      </c>
      <c r="AB60" s="149" t="e">
        <f t="shared" si="4"/>
        <v>#N/A</v>
      </c>
      <c r="AC60" s="149" t="e">
        <f t="shared" si="5"/>
        <v>#N/A</v>
      </c>
    </row>
    <row r="61" spans="1:32">
      <c r="A61" s="355"/>
      <c r="B61" s="144" t="s">
        <v>22</v>
      </c>
      <c r="C61" s="406" t="str">
        <f>IF(VALUE(MID(B61,2,3))&gt;$C$50,"",IF(VALUE(MID(B61,2,3))=$C$50,$C$48,(C60+$D$40*2+$D$34)/IF($D$43="先模切后冷压",1+设计主界面!$O$19,1)))</f>
        <v/>
      </c>
      <c r="D61" s="418"/>
      <c r="E61" s="144" t="s">
        <v>22</v>
      </c>
      <c r="F61" s="406" t="str">
        <f>IF(VALUE(MID(E61,2,3))&gt;$F$50,"",IF(VALUE(MID(E61,2,3))=$F$50,$F$48,(F60+$D$40*2+$D$35)/IF($D$42="先模切后冷压",1+设计主界面!$O$20,1)))</f>
        <v/>
      </c>
      <c r="G61" s="423"/>
      <c r="H61" s="424"/>
      <c r="I61" s="421"/>
      <c r="J61" s="144" t="s">
        <v>22</v>
      </c>
      <c r="K61" s="406" t="str">
        <f>IF(VALUE(MID(J61,2,3))&gt;$K$50,"",IF(VALUE(MID(J61,2,3))=$K$50,$K$48,(K59+$D$40+$D$34/2)/IF($D$43="先模切后冷压",1+设计主界面!$O$19,1)))</f>
        <v/>
      </c>
      <c r="L61" s="418"/>
      <c r="M61" s="144" t="s">
        <v>22</v>
      </c>
      <c r="N61" s="406" t="str">
        <f>IF(VALUE(MID(M61,2,3))&gt;$N$50,"",IF(VALUE(MID(M61,2,3))=$N$50,$N$48,(N59+$D$40+$D$35/2)/IF($D$42="先模切后冷压",1+设计主界面!$O$20,1)))</f>
        <v/>
      </c>
      <c r="O61" s="465"/>
      <c r="U61" s="139">
        <v>9</v>
      </c>
      <c r="V61" s="149" t="e">
        <f t="shared" si="0"/>
        <v>#N/A</v>
      </c>
      <c r="W61" s="149" t="e">
        <f t="shared" si="1"/>
        <v>#N/A</v>
      </c>
      <c r="X61" s="150" t="e">
        <f t="shared" si="2"/>
        <v>#N/A</v>
      </c>
      <c r="Y61" s="149" t="e">
        <f t="shared" si="3"/>
        <v>#N/A</v>
      </c>
      <c r="Z61" s="151" t="e">
        <f t="shared" si="6"/>
        <v>#N/A</v>
      </c>
      <c r="AA61" s="152" t="e">
        <f t="shared" si="7"/>
        <v>#N/A</v>
      </c>
      <c r="AB61" s="149" t="e">
        <f t="shared" si="4"/>
        <v>#N/A</v>
      </c>
      <c r="AC61" s="149" t="e">
        <f t="shared" si="5"/>
        <v>#N/A</v>
      </c>
    </row>
    <row r="62" spans="1:32">
      <c r="A62" s="357"/>
      <c r="B62" s="144" t="s">
        <v>23</v>
      </c>
      <c r="C62" s="406" t="str">
        <f>IF(VALUE(MID(B62,2,3))&gt;$C$50,"",IF(VALUE(MID(B62,2,3))=$C$50,$C$48,(C61+$D$40*2+$D$34)/IF($D$43="先模切后冷压",1+设计主界面!$O$19,1)))</f>
        <v/>
      </c>
      <c r="D62" s="418"/>
      <c r="E62" s="144" t="s">
        <v>23</v>
      </c>
      <c r="F62" s="406" t="str">
        <f>IF(VALUE(MID(E62,2,3))&gt;$F$50,"",IF(VALUE(MID(E62,2,3))=$F$50,$F$48,(F61+$D$40*2+$D$35)/IF($D$42="先模切后冷压",1+设计主界面!$O$20,1)))</f>
        <v/>
      </c>
      <c r="G62" s="423"/>
      <c r="H62" s="424"/>
      <c r="I62" s="421"/>
      <c r="J62" s="144" t="s">
        <v>23</v>
      </c>
      <c r="K62" s="406" t="str">
        <f>IF(VALUE(MID(J62,2,3))&gt;$K$50,"",IF(VALUE(MID(J62,2,3))=$K$50,$K$48,(K60+$D$40+$D$34/2)/IF($D$43="先模切后冷压",1+设计主界面!$O$19,1)))</f>
        <v/>
      </c>
      <c r="L62" s="418"/>
      <c r="M62" s="144" t="s">
        <v>23</v>
      </c>
      <c r="N62" s="406" t="str">
        <f>IF(VALUE(MID(M62,2,3))&gt;$N$50,"",IF(VALUE(MID(M62,2,3))=$N$50,$N$48,(N60+$D$40+$D$35/2)/IF($D$42="先模切后冷压",1+设计主界面!$O$20,1)))</f>
        <v/>
      </c>
      <c r="O62" s="465"/>
      <c r="U62" s="139">
        <v>10</v>
      </c>
      <c r="V62" s="149" t="e">
        <f t="shared" si="0"/>
        <v>#N/A</v>
      </c>
      <c r="W62" s="149" t="e">
        <f t="shared" si="1"/>
        <v>#N/A</v>
      </c>
      <c r="X62" s="150" t="e">
        <f t="shared" si="2"/>
        <v>#N/A</v>
      </c>
      <c r="Y62" s="149" t="e">
        <f t="shared" si="3"/>
        <v>#N/A</v>
      </c>
      <c r="Z62" s="151" t="e">
        <f t="shared" si="6"/>
        <v>#N/A</v>
      </c>
      <c r="AA62" s="152" t="e">
        <f t="shared" si="7"/>
        <v>#N/A</v>
      </c>
      <c r="AB62" s="149" t="e">
        <f t="shared" si="4"/>
        <v>#N/A</v>
      </c>
      <c r="AC62" s="149" t="e">
        <f t="shared" si="5"/>
        <v>#N/A</v>
      </c>
    </row>
    <row r="63" spans="1:32">
      <c r="A63" s="326"/>
      <c r="B63" s="144" t="s">
        <v>24</v>
      </c>
      <c r="C63" s="406" t="str">
        <f>IF(VALUE(MID(B63,2,3))&gt;$C$50,"",IF(VALUE(MID(B63,2,3))=$C$50,$C$48,(C62+$D$40*2+$D$34)/IF($D$43="先模切后冷压",1+设计主界面!$O$19,1)))</f>
        <v/>
      </c>
      <c r="D63" s="418"/>
      <c r="E63" s="144" t="s">
        <v>24</v>
      </c>
      <c r="F63" s="406" t="str">
        <f>IF(VALUE(MID(E63,2,3))&gt;$F$50,"",IF(VALUE(MID(E63,2,3))=$F$50,$F$48,(F62+$D$40*2+$D$35)/IF($D$42="先模切后冷压",1+设计主界面!$O$20,1)))</f>
        <v/>
      </c>
      <c r="G63" s="423"/>
      <c r="H63" s="424"/>
      <c r="I63" s="421"/>
      <c r="J63" s="144" t="s">
        <v>24</v>
      </c>
      <c r="K63" s="406" t="str">
        <f>IF(VALUE(MID(J63,2,3))&gt;$K$50,"",IF(VALUE(MID(J63,2,3))=$K$50,$K$48,(K61+$D$40+$D$34/2)/IF($D$43="先模切后冷压",1+设计主界面!$O$19,1)))</f>
        <v/>
      </c>
      <c r="L63" s="418"/>
      <c r="M63" s="144" t="s">
        <v>24</v>
      </c>
      <c r="N63" s="406" t="str">
        <f>IF(VALUE(MID(M63,2,3))&gt;$N$50,"",IF(VALUE(MID(M63,2,3))=$N$50,$N$48,(N61+$D$40+$D$35/2)/IF($D$42="先模切后冷压",1+设计主界面!$O$20,1)))</f>
        <v/>
      </c>
      <c r="O63" s="465"/>
      <c r="U63" s="139">
        <v>11</v>
      </c>
      <c r="V63" s="149" t="e">
        <f t="shared" si="0"/>
        <v>#N/A</v>
      </c>
      <c r="W63" s="149" t="e">
        <f t="shared" si="1"/>
        <v>#N/A</v>
      </c>
      <c r="X63" s="150" t="e">
        <f t="shared" si="2"/>
        <v>#N/A</v>
      </c>
      <c r="Y63" s="149" t="e">
        <f t="shared" si="3"/>
        <v>#N/A</v>
      </c>
      <c r="Z63" s="151" t="e">
        <f t="shared" si="6"/>
        <v>#N/A</v>
      </c>
      <c r="AA63" s="152" t="e">
        <f t="shared" si="7"/>
        <v>#N/A</v>
      </c>
      <c r="AB63" s="149" t="e">
        <f t="shared" si="4"/>
        <v>#N/A</v>
      </c>
      <c r="AC63" s="149" t="e">
        <f t="shared" si="5"/>
        <v>#N/A</v>
      </c>
    </row>
    <row r="64" spans="1:32">
      <c r="A64" s="327"/>
      <c r="B64" s="144" t="s">
        <v>25</v>
      </c>
      <c r="C64" s="406" t="str">
        <f>IF(VALUE(MID(B64,2,3))&gt;$C$50,"",IF(VALUE(MID(B64,2,3))=$C$50,$C$48,(C63+$D$40*2+$D$34)/IF($D$43="先模切后冷压",1+设计主界面!$O$19,1)))</f>
        <v/>
      </c>
      <c r="D64" s="418"/>
      <c r="E64" s="144" t="s">
        <v>25</v>
      </c>
      <c r="F64" s="406" t="str">
        <f>IF(VALUE(MID(E64,2,3))&gt;$F$50,"",IF(VALUE(MID(E64,2,3))=$F$50,$F$48,(F63+$D$40*2+$D$35)/IF($D$42="先模切后冷压",1+设计主界面!$O$20,1)))</f>
        <v/>
      </c>
      <c r="G64" s="423"/>
      <c r="H64" s="424"/>
      <c r="I64" s="421"/>
      <c r="J64" s="144" t="s">
        <v>25</v>
      </c>
      <c r="K64" s="406" t="str">
        <f>IF(VALUE(MID(J64,2,3))&gt;$K$50,"",IF(VALUE(MID(J64,2,3))=$K$50,$K$48,(K62+$D$40+$D$34/2)/IF($D$43="先模切后冷压",1+设计主界面!$O$19,1)))</f>
        <v/>
      </c>
      <c r="L64" s="418"/>
      <c r="M64" s="144" t="s">
        <v>25</v>
      </c>
      <c r="N64" s="406" t="str">
        <f>IF(VALUE(MID(M64,2,3))&gt;$N$50,"",IF(VALUE(MID(M64,2,3))=$N$50,$N$48,(N62+$D$40+$D$35/2)/IF($D$42="先模切后冷压",1+设计主界面!$O$20,1)))</f>
        <v/>
      </c>
      <c r="O64" s="465"/>
      <c r="U64" s="139">
        <v>12</v>
      </c>
      <c r="V64" s="149" t="e">
        <f t="shared" si="0"/>
        <v>#N/A</v>
      </c>
      <c r="W64" s="149" t="e">
        <f t="shared" si="1"/>
        <v>#N/A</v>
      </c>
      <c r="X64" s="150" t="e">
        <f t="shared" si="2"/>
        <v>#N/A</v>
      </c>
      <c r="Y64" s="149" t="e">
        <f t="shared" si="3"/>
        <v>#N/A</v>
      </c>
      <c r="Z64" s="151" t="e">
        <f t="shared" si="6"/>
        <v>#N/A</v>
      </c>
      <c r="AA64" s="152" t="e">
        <f t="shared" si="7"/>
        <v>#N/A</v>
      </c>
      <c r="AB64" s="149" t="e">
        <f t="shared" si="4"/>
        <v>#N/A</v>
      </c>
      <c r="AC64" s="149" t="e">
        <f t="shared" si="5"/>
        <v>#N/A</v>
      </c>
    </row>
    <row r="65" spans="1:29">
      <c r="A65" s="328"/>
      <c r="B65" s="144" t="s">
        <v>26</v>
      </c>
      <c r="C65" s="406" t="str">
        <f>IF(VALUE(MID(B65,2,3))&gt;$C$50,"",IF(VALUE(MID(B65,2,3))=$C$50,$C$48,(C64+$D$40*2+$D$34)/IF($D$43="先模切后冷压",1+设计主界面!$O$19,1)))</f>
        <v/>
      </c>
      <c r="D65" s="418"/>
      <c r="E65" s="144" t="s">
        <v>26</v>
      </c>
      <c r="F65" s="406" t="str">
        <f>IF(VALUE(MID(E65,2,3))&gt;$F$50,"",IF(VALUE(MID(E65,2,3))=$F$50,$F$48,(F64+$D$40*2+$D$35)/IF($D$42="先模切后冷压",1+设计主界面!$O$20,1)))</f>
        <v/>
      </c>
      <c r="G65" s="423"/>
      <c r="H65" s="424"/>
      <c r="I65" s="421"/>
      <c r="J65" s="144" t="s">
        <v>26</v>
      </c>
      <c r="K65" s="406" t="str">
        <f>IF(VALUE(MID(J65,2,3))&gt;$K$50,"",IF(VALUE(MID(J65,2,3))=$K$50,$K$48,(K63+$D$40+$D$34/2)/IF($D$43="先模切后冷压",1+设计主界面!$O$19,1)))</f>
        <v/>
      </c>
      <c r="L65" s="418"/>
      <c r="M65" s="144" t="s">
        <v>26</v>
      </c>
      <c r="N65" s="406" t="str">
        <f>IF(VALUE(MID(M65,2,3))&gt;$N$50,"",IF(VALUE(MID(M65,2,3))=$N$50,$N$48,(N63+$D$40+$D$35/2)/IF($D$42="先模切后冷压",1+设计主界面!$O$20,1)))</f>
        <v/>
      </c>
      <c r="O65" s="465"/>
      <c r="U65" s="139">
        <v>13</v>
      </c>
      <c r="V65" s="149" t="e">
        <f t="shared" si="0"/>
        <v>#N/A</v>
      </c>
      <c r="W65" s="149" t="e">
        <f t="shared" si="1"/>
        <v>#N/A</v>
      </c>
      <c r="X65" s="150" t="e">
        <f t="shared" si="2"/>
        <v>#N/A</v>
      </c>
      <c r="Y65" s="149" t="e">
        <f t="shared" si="3"/>
        <v>#N/A</v>
      </c>
      <c r="Z65" s="151" t="e">
        <f t="shared" si="6"/>
        <v>#N/A</v>
      </c>
      <c r="AA65" s="152" t="e">
        <f t="shared" si="7"/>
        <v>#N/A</v>
      </c>
      <c r="AB65" s="149" t="e">
        <f t="shared" si="4"/>
        <v>#N/A</v>
      </c>
      <c r="AC65" s="149" t="e">
        <f t="shared" si="5"/>
        <v>#N/A</v>
      </c>
    </row>
    <row r="66" spans="1:29">
      <c r="A66" s="328"/>
      <c r="B66" s="144" t="s">
        <v>27</v>
      </c>
      <c r="C66" s="406" t="str">
        <f>IF(VALUE(MID(B66,2,3))&gt;$C$50,"",IF(VALUE(MID(B66,2,3))=$C$50,$C$48,(C65+$D$40*2+$D$34)/IF($D$43="先模切后冷压",1+设计主界面!$O$19,1)))</f>
        <v/>
      </c>
      <c r="D66" s="418"/>
      <c r="E66" s="144" t="s">
        <v>27</v>
      </c>
      <c r="F66" s="406" t="str">
        <f>IF(VALUE(MID(E66,2,3))&gt;$F$50,"",IF(VALUE(MID(E66,2,3))=$F$50,$F$48,(F65+$D$40*2+$D$35)/IF($D$42="先模切后冷压",1+设计主界面!$O$20,1)))</f>
        <v/>
      </c>
      <c r="G66" s="423"/>
      <c r="H66" s="424"/>
      <c r="I66" s="421"/>
      <c r="J66" s="144" t="s">
        <v>27</v>
      </c>
      <c r="K66" s="406" t="str">
        <f>IF(VALUE(MID(J66,2,3))&gt;$K$50,"",IF(VALUE(MID(J66,2,3))=$K$50,$K$48,(K64+$D$40+$D$34/2)/IF($D$43="先模切后冷压",1+设计主界面!$O$19,1)))</f>
        <v/>
      </c>
      <c r="L66" s="418"/>
      <c r="M66" s="144" t="s">
        <v>27</v>
      </c>
      <c r="N66" s="406" t="str">
        <f>IF(VALUE(MID(M66,2,3))&gt;$N$50,"",IF(VALUE(MID(M66,2,3))=$N$50,$N$48,(N64+$D$40+$D$35/2)/IF($D$42="先模切后冷压",1+设计主界面!$O$20,1)))</f>
        <v/>
      </c>
      <c r="O66" s="465"/>
      <c r="U66" s="139">
        <v>14</v>
      </c>
      <c r="V66" s="149" t="e">
        <f t="shared" si="0"/>
        <v>#N/A</v>
      </c>
      <c r="W66" s="149" t="e">
        <f t="shared" si="1"/>
        <v>#N/A</v>
      </c>
      <c r="X66" s="150" t="e">
        <f t="shared" si="2"/>
        <v>#N/A</v>
      </c>
      <c r="Y66" s="149" t="e">
        <f t="shared" si="3"/>
        <v>#N/A</v>
      </c>
      <c r="Z66" s="151" t="e">
        <f t="shared" si="6"/>
        <v>#N/A</v>
      </c>
      <c r="AA66" s="152" t="e">
        <f t="shared" si="7"/>
        <v>#N/A</v>
      </c>
      <c r="AB66" s="149" t="e">
        <f t="shared" si="4"/>
        <v>#N/A</v>
      </c>
      <c r="AC66" s="149" t="e">
        <f t="shared" si="5"/>
        <v>#N/A</v>
      </c>
    </row>
    <row r="67" spans="1:29">
      <c r="A67" s="327"/>
      <c r="B67" s="144" t="s">
        <v>28</v>
      </c>
      <c r="C67" s="406" t="str">
        <f>IF(VALUE(MID(B67,2,3))&gt;$C$50,"",IF(VALUE(MID(B67,2,3))=$C$50,$C$48,(C66+$D$40*2+$D$34)/IF($D$43="先模切后冷压",1+设计主界面!$O$19,1)))</f>
        <v/>
      </c>
      <c r="D67" s="418"/>
      <c r="E67" s="144" t="s">
        <v>28</v>
      </c>
      <c r="F67" s="406" t="str">
        <f>IF(VALUE(MID(E67,2,3))&gt;$F$50,"",IF(VALUE(MID(E67,2,3))=$F$50,$F$48,(F66+$D$40*2+$D$35)/IF($D$42="先模切后冷压",1+设计主界面!$O$20,1)))</f>
        <v/>
      </c>
      <c r="G67" s="423"/>
      <c r="H67" s="424"/>
      <c r="I67" s="421"/>
      <c r="J67" s="144" t="s">
        <v>28</v>
      </c>
      <c r="K67" s="406" t="str">
        <f>IF(VALUE(MID(J67,2,3))&gt;$K$50,"",IF(VALUE(MID(J67,2,3))=$K$50,$K$48,(K65+$D$40+$D$34/2)/IF($D$43="先模切后冷压",1+设计主界面!$O$19,1)))</f>
        <v/>
      </c>
      <c r="L67" s="418"/>
      <c r="M67" s="144" t="s">
        <v>28</v>
      </c>
      <c r="N67" s="406" t="str">
        <f>IF(VALUE(MID(M67,2,3))&gt;$N$50,"",IF(VALUE(MID(M67,2,3))=$N$50,$N$48,(N65+$D$40+$D$35/2)/IF($D$42="先模切后冷压",1+设计主界面!$O$20,1)))</f>
        <v/>
      </c>
      <c r="O67" s="465"/>
      <c r="U67" s="139">
        <v>15</v>
      </c>
      <c r="V67" s="149" t="e">
        <f t="shared" si="0"/>
        <v>#N/A</v>
      </c>
      <c r="W67" s="149" t="e">
        <f t="shared" si="1"/>
        <v>#N/A</v>
      </c>
      <c r="X67" s="150" t="e">
        <f t="shared" si="2"/>
        <v>#N/A</v>
      </c>
      <c r="Y67" s="149" t="e">
        <f t="shared" si="3"/>
        <v>#N/A</v>
      </c>
      <c r="Z67" s="151" t="e">
        <f t="shared" si="6"/>
        <v>#N/A</v>
      </c>
      <c r="AA67" s="152" t="e">
        <f t="shared" si="7"/>
        <v>#N/A</v>
      </c>
      <c r="AB67" s="149" t="e">
        <f t="shared" si="4"/>
        <v>#N/A</v>
      </c>
      <c r="AC67" s="149" t="e">
        <f t="shared" si="5"/>
        <v>#N/A</v>
      </c>
    </row>
    <row r="68" spans="1:29">
      <c r="A68" s="329"/>
      <c r="B68" s="144" t="s">
        <v>29</v>
      </c>
      <c r="C68" s="406" t="str">
        <f>IF(VALUE(MID(B68,2,3))&gt;$C$50,"",IF(VALUE(MID(B68,2,3))=$C$50,$C$48,(C67+$D$40*2+$D$34)/IF($D$43="先模切后冷压",1+设计主界面!$O$19,1)))</f>
        <v/>
      </c>
      <c r="D68" s="418"/>
      <c r="E68" s="144" t="s">
        <v>29</v>
      </c>
      <c r="F68" s="406" t="str">
        <f>IF(VALUE(MID(E68,2,3))&gt;$F$50,"",IF(VALUE(MID(E68,2,3))=$F$50,$F$48,(F67+$D$40*2+$D$35)/IF($D$42="先模切后冷压",1+设计主界面!$O$20,1)))</f>
        <v/>
      </c>
      <c r="G68" s="423"/>
      <c r="H68" s="424"/>
      <c r="I68" s="421"/>
      <c r="J68" s="144" t="s">
        <v>29</v>
      </c>
      <c r="K68" s="406" t="str">
        <f>IF(VALUE(MID(J68,2,3))&gt;$K$50,"",IF(VALUE(MID(J68,2,3))=$K$50,$K$48,(K66+$D$40+$D$34/2)/IF($D$43="先模切后冷压",1+设计主界面!$O$19,1)))</f>
        <v/>
      </c>
      <c r="L68" s="418"/>
      <c r="M68" s="144" t="s">
        <v>29</v>
      </c>
      <c r="N68" s="406" t="str">
        <f>IF(VALUE(MID(M68,2,3))&gt;$N$50,"",IF(VALUE(MID(M68,2,3))=$N$50,$N$48,(N66+$D$40+$D$35/2)/IF($D$42="先模切后冷压",1+设计主界面!$O$20,1)))</f>
        <v/>
      </c>
      <c r="O68" s="465"/>
      <c r="U68" s="139">
        <v>16</v>
      </c>
      <c r="V68" s="149" t="e">
        <f t="shared" si="0"/>
        <v>#N/A</v>
      </c>
      <c r="W68" s="149" t="e">
        <f t="shared" si="1"/>
        <v>#N/A</v>
      </c>
      <c r="X68" s="150" t="e">
        <f t="shared" si="2"/>
        <v>#N/A</v>
      </c>
      <c r="Y68" s="149" t="e">
        <f t="shared" si="3"/>
        <v>#N/A</v>
      </c>
      <c r="Z68" s="151" t="e">
        <f t="shared" si="6"/>
        <v>#N/A</v>
      </c>
      <c r="AA68" s="152" t="e">
        <f t="shared" si="7"/>
        <v>#N/A</v>
      </c>
      <c r="AB68" s="149" t="e">
        <f t="shared" si="4"/>
        <v>#N/A</v>
      </c>
      <c r="AC68" s="149" t="e">
        <f t="shared" si="5"/>
        <v>#N/A</v>
      </c>
    </row>
    <row r="69" spans="1:29" ht="15.75">
      <c r="A69" s="356"/>
      <c r="B69" s="144" t="s">
        <v>30</v>
      </c>
      <c r="C69" s="406" t="str">
        <f>IF(VALUE(MID(B69,2,3))&gt;$C$50,"",IF(VALUE(MID(B69,2,3))=$C$50,$C$48,(C68+$D$40*2+$D$34)/IF($D$43="先模切后冷压",1+设计主界面!$O$19,1)))</f>
        <v/>
      </c>
      <c r="D69" s="418"/>
      <c r="E69" s="144" t="s">
        <v>30</v>
      </c>
      <c r="F69" s="406" t="str">
        <f>IF(VALUE(MID(E69,2,3))&gt;$F$50,"",IF(VALUE(MID(E69,2,3))=$F$50,$F$48,(F68+$D$40*2+$D$35)/IF($D$42="先模切后冷压",1+设计主界面!$O$20,1)))</f>
        <v/>
      </c>
      <c r="G69" s="423"/>
      <c r="H69" s="424"/>
      <c r="I69" s="421"/>
      <c r="J69" s="144" t="s">
        <v>30</v>
      </c>
      <c r="K69" s="406" t="str">
        <f>IF(VALUE(MID(J69,2,3))&gt;$K$50,"",IF(VALUE(MID(J69,2,3))=$K$50,$K$48,(K67+$D$40+$D$34/2)/IF($D$43="先模切后冷压",1+设计主界面!$O$19,1)))</f>
        <v/>
      </c>
      <c r="L69" s="418"/>
      <c r="M69" s="144" t="s">
        <v>30</v>
      </c>
      <c r="N69" s="406" t="str">
        <f>IF(VALUE(MID(M69,2,3))&gt;$N$50,"",IF(VALUE(MID(M69,2,3))=$N$50,$N$48,(N67+$D$40+$D$35/2)/IF($D$42="先模切后冷压",1+设计主界面!$O$20,1)))</f>
        <v/>
      </c>
      <c r="O69" s="465"/>
      <c r="U69" s="139">
        <v>17</v>
      </c>
      <c r="V69" s="149" t="e">
        <f t="shared" si="0"/>
        <v>#N/A</v>
      </c>
      <c r="W69" s="149" t="e">
        <f t="shared" si="1"/>
        <v>#N/A</v>
      </c>
      <c r="X69" s="150" t="e">
        <f t="shared" si="2"/>
        <v>#N/A</v>
      </c>
      <c r="Y69" s="149" t="e">
        <f t="shared" si="3"/>
        <v>#N/A</v>
      </c>
      <c r="Z69" s="151" t="e">
        <f t="shared" si="6"/>
        <v>#N/A</v>
      </c>
      <c r="AA69" s="152" t="e">
        <f t="shared" si="7"/>
        <v>#N/A</v>
      </c>
      <c r="AB69" s="149" t="e">
        <f t="shared" si="4"/>
        <v>#N/A</v>
      </c>
      <c r="AC69" s="149" t="e">
        <f t="shared" si="5"/>
        <v>#N/A</v>
      </c>
    </row>
    <row r="70" spans="1:29" ht="15.75">
      <c r="A70" s="356"/>
      <c r="B70" s="144" t="s">
        <v>31</v>
      </c>
      <c r="C70" s="406" t="str">
        <f>IF(VALUE(MID(B70,2,3))&gt;$C$50,"",IF(VALUE(MID(B70,2,3))=$C$50,$C$48,(C69+$D$40*2+$D$34)/IF($D$43="先模切后冷压",1+设计主界面!$O$19,1)))</f>
        <v/>
      </c>
      <c r="D70" s="418"/>
      <c r="E70" s="144" t="s">
        <v>31</v>
      </c>
      <c r="F70" s="406" t="str">
        <f>IF(VALUE(MID(E70,2,3))&gt;$F$50,"",IF(VALUE(MID(E70,2,3))=$F$50,$F$48,(F69+$D$40*2+$D$35)/IF($D$42="先模切后冷压",1+设计主界面!$O$20,1)))</f>
        <v/>
      </c>
      <c r="G70" s="423"/>
      <c r="H70" s="424"/>
      <c r="I70" s="421"/>
      <c r="J70" s="144" t="s">
        <v>31</v>
      </c>
      <c r="K70" s="406" t="str">
        <f>IF(VALUE(MID(J70,2,3))&gt;$K$50,"",IF(VALUE(MID(J70,2,3))=$K$50,$K$48,(K68+$D$40+$D$34/2)/IF($D$43="先模切后冷压",1+设计主界面!$O$19,1)))</f>
        <v/>
      </c>
      <c r="L70" s="418"/>
      <c r="M70" s="144" t="s">
        <v>31</v>
      </c>
      <c r="N70" s="406" t="str">
        <f>IF(VALUE(MID(M70,2,3))&gt;$N$50,"",IF(VALUE(MID(M70,2,3))=$N$50,$N$48,(N68+$D$40+$D$35/2)/IF($D$42="先模切后冷压",1+设计主界面!$O$20,1)))</f>
        <v/>
      </c>
      <c r="O70" s="465"/>
      <c r="U70" s="139">
        <v>18</v>
      </c>
      <c r="V70" s="149" t="e">
        <f t="shared" si="0"/>
        <v>#N/A</v>
      </c>
      <c r="W70" s="149" t="e">
        <f t="shared" si="1"/>
        <v>#N/A</v>
      </c>
      <c r="X70" s="150" t="e">
        <f t="shared" si="2"/>
        <v>#N/A</v>
      </c>
      <c r="Y70" s="149" t="e">
        <f t="shared" si="3"/>
        <v>#N/A</v>
      </c>
      <c r="Z70" s="151" t="e">
        <f t="shared" si="6"/>
        <v>#N/A</v>
      </c>
      <c r="AA70" s="152" t="e">
        <f t="shared" si="7"/>
        <v>#N/A</v>
      </c>
      <c r="AB70" s="149" t="e">
        <f t="shared" si="4"/>
        <v>#N/A</v>
      </c>
      <c r="AC70" s="149" t="e">
        <f t="shared" si="5"/>
        <v>#N/A</v>
      </c>
    </row>
    <row r="71" spans="1:29">
      <c r="B71" s="144" t="s">
        <v>32</v>
      </c>
      <c r="C71" s="406" t="str">
        <f>IF(VALUE(MID(B71,2,3))&gt;$C$50,"",IF(VALUE(MID(B71,2,3))=$C$50,$C$48,(C70+$D$40*2+$D$34)/IF($D$43="先模切后冷压",1+设计主界面!$O$19,1)))</f>
        <v/>
      </c>
      <c r="D71" s="418"/>
      <c r="E71" s="144" t="s">
        <v>32</v>
      </c>
      <c r="F71" s="406" t="str">
        <f>IF(VALUE(MID(E71,2,3))&gt;$F$50,"",IF(VALUE(MID(E71,2,3))=$F$50,$F$48,(F70+$D$40*2+$D$35)/IF($D$42="先模切后冷压",1+设计主界面!$O$20,1)))</f>
        <v/>
      </c>
      <c r="G71" s="423"/>
      <c r="H71" s="424"/>
      <c r="I71" s="421"/>
      <c r="J71" s="144" t="s">
        <v>32</v>
      </c>
      <c r="K71" s="406" t="str">
        <f>IF(VALUE(MID(J71,2,3))&gt;$K$50,"",IF(VALUE(MID(J71,2,3))=$K$50,$K$48,(K69+$D$40+$D$34/2)/IF($D$43="先模切后冷压",1+设计主界面!$O$19,1)))</f>
        <v/>
      </c>
      <c r="L71" s="418"/>
      <c r="M71" s="144" t="s">
        <v>32</v>
      </c>
      <c r="N71" s="406" t="str">
        <f>IF(VALUE(MID(M71,2,3))&gt;$N$50,"",IF(VALUE(MID(M71,2,3))=$N$50,$N$48,(N69+$D$40+$D$35/2)/IF($D$42="先模切后冷压",1+设计主界面!$O$20,1)))</f>
        <v/>
      </c>
      <c r="O71" s="465"/>
      <c r="U71" s="139">
        <v>19</v>
      </c>
      <c r="V71" s="149" t="e">
        <f t="shared" si="0"/>
        <v>#N/A</v>
      </c>
      <c r="W71" s="149" t="e">
        <f t="shared" si="1"/>
        <v>#N/A</v>
      </c>
      <c r="X71" s="150" t="e">
        <f t="shared" si="2"/>
        <v>#N/A</v>
      </c>
      <c r="Y71" s="149" t="e">
        <f t="shared" si="3"/>
        <v>#N/A</v>
      </c>
      <c r="Z71" s="151" t="e">
        <f t="shared" si="6"/>
        <v>#N/A</v>
      </c>
      <c r="AA71" s="152" t="e">
        <f t="shared" si="7"/>
        <v>#N/A</v>
      </c>
      <c r="AB71" s="149" t="e">
        <f t="shared" si="4"/>
        <v>#N/A</v>
      </c>
      <c r="AC71" s="149" t="e">
        <f t="shared" si="5"/>
        <v>#N/A</v>
      </c>
    </row>
    <row r="72" spans="1:29">
      <c r="B72" s="144" t="s">
        <v>33</v>
      </c>
      <c r="C72" s="406" t="str">
        <f>IF(VALUE(MID(B72,2,3))&gt;$C$50,"",IF(VALUE(MID(B72,2,3))=$C$50,$C$48,(C71+$D$40*2+$D$34)/IF($D$43="先模切后冷压",1+设计主界面!$O$19,1)))</f>
        <v/>
      </c>
      <c r="D72" s="418"/>
      <c r="E72" s="144" t="s">
        <v>33</v>
      </c>
      <c r="F72" s="406" t="str">
        <f>IF(VALUE(MID(E72,2,3))&gt;$F$50,"",IF(VALUE(MID(E72,2,3))=$F$50,$F$48,(F71+$D$40*2+$D$35)/IF($D$42="先模切后冷压",1+设计主界面!$O$20,1)))</f>
        <v/>
      </c>
      <c r="G72" s="423"/>
      <c r="H72" s="424"/>
      <c r="I72" s="421"/>
      <c r="J72" s="144" t="s">
        <v>33</v>
      </c>
      <c r="K72" s="406" t="str">
        <f>IF(VALUE(MID(J72,2,3))&gt;$K$50,"",IF(VALUE(MID(J72,2,3))=$K$50,$K$48,(K70+$D$40+$D$34/2)/IF($D$43="先模切后冷压",1+设计主界面!$O$19,1)))</f>
        <v/>
      </c>
      <c r="L72" s="418"/>
      <c r="M72" s="144" t="s">
        <v>33</v>
      </c>
      <c r="N72" s="406" t="str">
        <f>IF(VALUE(MID(M72,2,3))&gt;$N$50,"",IF(VALUE(MID(M72,2,3))=$N$50,$N$48,(N70+$D$40+$D$35/2)/IF($D$42="先模切后冷压",1+设计主界面!$O$20,1)))</f>
        <v/>
      </c>
      <c r="O72" s="465"/>
      <c r="U72" s="139">
        <v>20</v>
      </c>
      <c r="V72" s="149" t="e">
        <f t="shared" si="0"/>
        <v>#N/A</v>
      </c>
      <c r="W72" s="149" t="e">
        <f t="shared" si="1"/>
        <v>#N/A</v>
      </c>
      <c r="X72" s="150" t="e">
        <f t="shared" si="2"/>
        <v>#N/A</v>
      </c>
      <c r="Y72" s="149" t="e">
        <f t="shared" si="3"/>
        <v>#N/A</v>
      </c>
      <c r="Z72" s="151" t="e">
        <f t="shared" si="6"/>
        <v>#N/A</v>
      </c>
      <c r="AA72" s="152" t="e">
        <f t="shared" si="7"/>
        <v>#N/A</v>
      </c>
      <c r="AB72" s="149" t="e">
        <f t="shared" si="4"/>
        <v>#N/A</v>
      </c>
      <c r="AC72" s="149" t="e">
        <f t="shared" si="5"/>
        <v>#N/A</v>
      </c>
    </row>
    <row r="73" spans="1:29">
      <c r="B73" s="144" t="s">
        <v>34</v>
      </c>
      <c r="C73" s="406" t="str">
        <f>IF(VALUE(MID(B73,2,3))&gt;$C$50,"",IF(VALUE(MID(B73,2,3))=$C$50,$C$48,(C72+$D$40*2+$D$34)/IF($D$43="先模切后冷压",1+设计主界面!$O$19,1)))</f>
        <v/>
      </c>
      <c r="D73" s="418"/>
      <c r="E73" s="144" t="s">
        <v>34</v>
      </c>
      <c r="F73" s="406" t="str">
        <f>IF(VALUE(MID(E73,2,3))&gt;$F$50,"",IF(VALUE(MID(E73,2,3))=$F$50,$F$48,(F72+$D$40*2+$D$35)/IF($D$42="先模切后冷压",1+设计主界面!$O$20,1)))</f>
        <v/>
      </c>
      <c r="G73" s="423"/>
      <c r="H73" s="424"/>
      <c r="I73" s="421"/>
      <c r="J73" s="144" t="s">
        <v>34</v>
      </c>
      <c r="K73" s="406" t="str">
        <f>IF(VALUE(MID(J73,2,3))&gt;$K$50,"",IF(VALUE(MID(J73,2,3))=$K$50,$K$48,(K71+$D$40+$D$34/2)/IF($D$43="先模切后冷压",1+设计主界面!$O$19,1)))</f>
        <v/>
      </c>
      <c r="L73" s="418"/>
      <c r="M73" s="144" t="s">
        <v>34</v>
      </c>
      <c r="N73" s="406" t="str">
        <f>IF(VALUE(MID(M73,2,3))&gt;$N$50,"",IF(VALUE(MID(M73,2,3))=$N$50,$N$48,(N71+$D$40+$D$35/2)/IF($D$42="先模切后冷压",1+设计主界面!$O$20,1)))</f>
        <v/>
      </c>
      <c r="O73" s="465"/>
      <c r="U73" s="139">
        <v>21</v>
      </c>
      <c r="V73" s="149" t="e">
        <f t="shared" si="0"/>
        <v>#N/A</v>
      </c>
      <c r="W73" s="149" t="e">
        <f t="shared" si="1"/>
        <v>#N/A</v>
      </c>
      <c r="X73" s="150" t="e">
        <f t="shared" si="2"/>
        <v>#N/A</v>
      </c>
      <c r="Y73" s="149" t="e">
        <f t="shared" si="3"/>
        <v>#N/A</v>
      </c>
      <c r="Z73" s="151" t="e">
        <f t="shared" si="6"/>
        <v>#N/A</v>
      </c>
      <c r="AA73" s="152" t="e">
        <f t="shared" si="7"/>
        <v>#N/A</v>
      </c>
      <c r="AB73" s="149" t="e">
        <f t="shared" si="4"/>
        <v>#N/A</v>
      </c>
      <c r="AC73" s="149" t="e">
        <f t="shared" si="5"/>
        <v>#N/A</v>
      </c>
    </row>
    <row r="74" spans="1:29">
      <c r="B74" s="144" t="s">
        <v>35</v>
      </c>
      <c r="C74" s="406" t="str">
        <f>IF(VALUE(MID(B74,2,3))&gt;$C$50,"",IF(VALUE(MID(B74,2,3))=$C$50,$C$48,(C73+$D$40*2+$D$34)/IF($D$43="先模切后冷压",1+设计主界面!$O$19,1)))</f>
        <v/>
      </c>
      <c r="D74" s="418"/>
      <c r="E74" s="144" t="s">
        <v>35</v>
      </c>
      <c r="F74" s="406" t="str">
        <f>IF(VALUE(MID(E74,2,3))&gt;$F$50,"",IF(VALUE(MID(E74,2,3))=$F$50,$F$48,(F73+$D$40*2+$D$35)/IF($D$42="先模切后冷压",1+设计主界面!$O$20,1)))</f>
        <v/>
      </c>
      <c r="G74" s="423"/>
      <c r="H74" s="424"/>
      <c r="I74" s="421"/>
      <c r="J74" s="144" t="s">
        <v>35</v>
      </c>
      <c r="K74" s="406" t="str">
        <f>IF(VALUE(MID(J74,2,3))&gt;$K$50,"",IF(VALUE(MID(J74,2,3))=$K$50,$K$48,(K72+$D$40+$D$34/2)/IF($D$43="先模切后冷压",1+设计主界面!$O$19,1)))</f>
        <v/>
      </c>
      <c r="L74" s="418"/>
      <c r="M74" s="144" t="s">
        <v>35</v>
      </c>
      <c r="N74" s="406" t="str">
        <f>IF(VALUE(MID(M74,2,3))&gt;$N$50,"",IF(VALUE(MID(M74,2,3))=$N$50,$N$48,(N72+$D$40+$D$35/2)/IF($D$42="先模切后冷压",1+设计主界面!$O$20,1)))</f>
        <v/>
      </c>
      <c r="O74" s="465"/>
      <c r="U74" s="139">
        <v>22</v>
      </c>
      <c r="V74" s="149" t="e">
        <f t="shared" si="0"/>
        <v>#N/A</v>
      </c>
      <c r="W74" s="149" t="e">
        <f t="shared" si="1"/>
        <v>#N/A</v>
      </c>
      <c r="X74" s="150" t="e">
        <f t="shared" si="2"/>
        <v>#N/A</v>
      </c>
      <c r="Y74" s="149" t="e">
        <f t="shared" si="3"/>
        <v>#N/A</v>
      </c>
      <c r="Z74" s="151" t="e">
        <f t="shared" si="6"/>
        <v>#N/A</v>
      </c>
      <c r="AA74" s="152" t="e">
        <f t="shared" si="7"/>
        <v>#N/A</v>
      </c>
      <c r="AB74" s="149" t="e">
        <f t="shared" si="4"/>
        <v>#N/A</v>
      </c>
      <c r="AC74" s="149" t="e">
        <f t="shared" si="5"/>
        <v>#N/A</v>
      </c>
    </row>
    <row r="75" spans="1:29">
      <c r="B75" s="144" t="s">
        <v>36</v>
      </c>
      <c r="C75" s="406" t="str">
        <f>IF(VALUE(MID(B75,2,3))&gt;$C$50,"",IF(VALUE(MID(B75,2,3))=$C$50,$C$48,(C74+$D$40*2+$D$34)/IF($D$43="先模切后冷压",1+设计主界面!$O$19,1)))</f>
        <v/>
      </c>
      <c r="D75" s="418"/>
      <c r="E75" s="144" t="s">
        <v>36</v>
      </c>
      <c r="F75" s="406" t="str">
        <f>IF(VALUE(MID(E75,2,3))&gt;$F$50,"",IF(VALUE(MID(E75,2,3))=$F$50,$F$48,(F74+$D$40*2+$D$35)/IF($D$42="先模切后冷压",1+设计主界面!$O$20,1)))</f>
        <v/>
      </c>
      <c r="G75" s="423"/>
      <c r="H75" s="424"/>
      <c r="I75" s="421"/>
      <c r="J75" s="144" t="s">
        <v>36</v>
      </c>
      <c r="K75" s="406" t="str">
        <f>IF(VALUE(MID(J75,2,3))&gt;$K$50,"",IF(VALUE(MID(J75,2,3))=$K$50,$K$48,(K73+$D$40+$D$34/2)/IF($D$43="先模切后冷压",1+设计主界面!$O$19,1)))</f>
        <v/>
      </c>
      <c r="L75" s="418"/>
      <c r="M75" s="144" t="s">
        <v>36</v>
      </c>
      <c r="N75" s="406" t="str">
        <f>IF(VALUE(MID(M75,2,3))&gt;$N$50,"",IF(VALUE(MID(M75,2,3))=$N$50,$N$48,(N73+$D$40+$D$35/2)/IF($D$42="先模切后冷压",1+设计主界面!$O$20,1)))</f>
        <v/>
      </c>
      <c r="O75" s="465"/>
      <c r="U75" s="139">
        <v>23</v>
      </c>
      <c r="V75" s="149" t="e">
        <f t="shared" si="0"/>
        <v>#N/A</v>
      </c>
      <c r="W75" s="149" t="e">
        <f t="shared" si="1"/>
        <v>#N/A</v>
      </c>
      <c r="X75" s="150" t="e">
        <f t="shared" si="2"/>
        <v>#N/A</v>
      </c>
      <c r="Y75" s="149" t="e">
        <f t="shared" si="3"/>
        <v>#N/A</v>
      </c>
      <c r="Z75" s="151" t="e">
        <f t="shared" si="6"/>
        <v>#N/A</v>
      </c>
      <c r="AA75" s="152" t="e">
        <f t="shared" si="7"/>
        <v>#N/A</v>
      </c>
      <c r="AB75" s="149" t="e">
        <f t="shared" si="4"/>
        <v>#N/A</v>
      </c>
      <c r="AC75" s="149" t="e">
        <f t="shared" si="5"/>
        <v>#N/A</v>
      </c>
    </row>
    <row r="76" spans="1:29">
      <c r="B76" s="144" t="s">
        <v>37</v>
      </c>
      <c r="C76" s="406" t="str">
        <f>IF(VALUE(MID(B76,2,3))&gt;$C$50,"",IF(VALUE(MID(B76,2,3))=$C$50,$C$48,(C75+$D$40*2+$D$34)/IF($D$43="先模切后冷压",1+设计主界面!$O$19,1)))</f>
        <v/>
      </c>
      <c r="D76" s="418"/>
      <c r="E76" s="144" t="s">
        <v>37</v>
      </c>
      <c r="F76" s="406" t="str">
        <f>IF(VALUE(MID(E76,2,3))&gt;$F$50,"",IF(VALUE(MID(E76,2,3))=$F$50,$F$48,(F75+$D$40*2+$D$35)/IF($D$42="先模切后冷压",1+设计主界面!$O$20,1)))</f>
        <v/>
      </c>
      <c r="G76" s="423"/>
      <c r="H76" s="424"/>
      <c r="I76" s="421"/>
      <c r="J76" s="144" t="s">
        <v>37</v>
      </c>
      <c r="K76" s="406" t="str">
        <f>IF(VALUE(MID(J76,2,3))&gt;$K$50,"",IF(VALUE(MID(J76,2,3))=$K$50,$K$48,(K74+$D$40+$D$34/2)/IF($D$43="先模切后冷压",1+设计主界面!$O$19,1)))</f>
        <v/>
      </c>
      <c r="L76" s="418"/>
      <c r="M76" s="144" t="s">
        <v>37</v>
      </c>
      <c r="N76" s="406" t="str">
        <f>IF(VALUE(MID(M76,2,3))&gt;$N$50,"",IF(VALUE(MID(M76,2,3))=$N$50,$N$48,(N74+$D$40+$D$35/2)/IF($D$42="先模切后冷压",1+设计主界面!$O$20,1)))</f>
        <v/>
      </c>
      <c r="O76" s="465"/>
      <c r="U76" s="139">
        <v>24</v>
      </c>
      <c r="V76" s="149" t="e">
        <f t="shared" si="0"/>
        <v>#N/A</v>
      </c>
      <c r="W76" s="149" t="e">
        <f t="shared" si="1"/>
        <v>#N/A</v>
      </c>
      <c r="X76" s="150" t="e">
        <f t="shared" si="2"/>
        <v>#N/A</v>
      </c>
      <c r="Y76" s="149" t="e">
        <f t="shared" si="3"/>
        <v>#N/A</v>
      </c>
      <c r="Z76" s="151" t="e">
        <f t="shared" si="6"/>
        <v>#N/A</v>
      </c>
      <c r="AA76" s="152" t="e">
        <f t="shared" si="7"/>
        <v>#N/A</v>
      </c>
      <c r="AB76" s="149" t="e">
        <f t="shared" si="4"/>
        <v>#N/A</v>
      </c>
      <c r="AC76" s="149" t="e">
        <f t="shared" si="5"/>
        <v>#N/A</v>
      </c>
    </row>
    <row r="77" spans="1:29">
      <c r="B77" s="144" t="s">
        <v>38</v>
      </c>
      <c r="C77" s="406" t="str">
        <f>IF(VALUE(MID(B77,2,3))&gt;$C$50,"",IF(VALUE(MID(B77,2,3))=$C$50,$C$48,(C76+$D$40*2+$D$34)/IF($D$43="先模切后冷压",1+设计主界面!$O$19,1)))</f>
        <v/>
      </c>
      <c r="D77" s="418"/>
      <c r="E77" s="144" t="s">
        <v>38</v>
      </c>
      <c r="F77" s="406" t="str">
        <f>IF(VALUE(MID(E77,2,3))&gt;$F$50,"",IF(VALUE(MID(E77,2,3))=$F$50,$F$48,(F76+$D$40*2+$D$35)/IF($D$42="先模切后冷压",1+设计主界面!$O$20,1)))</f>
        <v/>
      </c>
      <c r="G77" s="423"/>
      <c r="H77" s="424"/>
      <c r="I77" s="421"/>
      <c r="J77" s="144" t="s">
        <v>38</v>
      </c>
      <c r="K77" s="406" t="str">
        <f>IF(VALUE(MID(J77,2,3))&gt;$K$50,"",IF(VALUE(MID(J77,2,3))=$K$50,$K$48,(K75+$D$40+$D$34/2)/IF($D$43="先模切后冷压",1+设计主界面!$O$19,1)))</f>
        <v/>
      </c>
      <c r="L77" s="418"/>
      <c r="M77" s="144" t="s">
        <v>38</v>
      </c>
      <c r="N77" s="406" t="str">
        <f>IF(VALUE(MID(M77,2,3))&gt;$N$50,"",IF(VALUE(MID(M77,2,3))=$N$50,$N$48,(N75+$D$40+$D$35/2)/IF($D$42="先模切后冷压",1+设计主界面!$O$20,1)))</f>
        <v/>
      </c>
      <c r="O77" s="465"/>
      <c r="U77" s="139">
        <v>25</v>
      </c>
      <c r="V77" s="149" t="e">
        <f t="shared" si="0"/>
        <v>#N/A</v>
      </c>
      <c r="W77" s="149" t="e">
        <f t="shared" si="1"/>
        <v>#N/A</v>
      </c>
      <c r="X77" s="150" t="e">
        <f t="shared" si="2"/>
        <v>#N/A</v>
      </c>
      <c r="Y77" s="149" t="e">
        <f t="shared" si="3"/>
        <v>#N/A</v>
      </c>
      <c r="Z77" s="151" t="e">
        <f t="shared" si="6"/>
        <v>#N/A</v>
      </c>
      <c r="AA77" s="152" t="e">
        <f t="shared" si="7"/>
        <v>#N/A</v>
      </c>
      <c r="AB77" s="149" t="e">
        <f t="shared" si="4"/>
        <v>#N/A</v>
      </c>
      <c r="AC77" s="149" t="e">
        <f t="shared" si="5"/>
        <v>#N/A</v>
      </c>
    </row>
    <row r="78" spans="1:29">
      <c r="B78" s="144" t="s">
        <v>39</v>
      </c>
      <c r="C78" s="406" t="str">
        <f>IF(VALUE(MID(B78,2,3))&gt;$C$50,"",IF(VALUE(MID(B78,2,3))=$C$50,$C$48,(C77+$D$40*2+$D$34)/IF($D$43="先模切后冷压",1+设计主界面!$O$19,1)))</f>
        <v/>
      </c>
      <c r="D78" s="418"/>
      <c r="E78" s="144" t="s">
        <v>39</v>
      </c>
      <c r="F78" s="406" t="str">
        <f>IF(VALUE(MID(E78,2,3))&gt;$F$50,"",IF(VALUE(MID(E78,2,3))=$F$50,$F$48,(F77+$D$40*2+$D$35)/IF($D$42="先模切后冷压",1+设计主界面!$O$20,1)))</f>
        <v/>
      </c>
      <c r="G78" s="423"/>
      <c r="H78" s="424"/>
      <c r="I78" s="421"/>
      <c r="J78" s="144" t="s">
        <v>39</v>
      </c>
      <c r="K78" s="406" t="str">
        <f>IF(VALUE(MID(J78,2,3))&gt;$K$50,"",IF(VALUE(MID(J78,2,3))=$K$50,$K$48,(K76+$D$40+$D$34/2)/IF($D$43="先模切后冷压",1+设计主界面!$O$19,1)))</f>
        <v/>
      </c>
      <c r="L78" s="418"/>
      <c r="M78" s="144" t="s">
        <v>39</v>
      </c>
      <c r="N78" s="406" t="str">
        <f>IF(VALUE(MID(M78,2,3))&gt;$N$50,"",IF(VALUE(MID(M78,2,3))=$N$50,$N$48,(N76+$D$40+$D$35/2)/IF($D$42="先模切后冷压",1+设计主界面!$O$20,1)))</f>
        <v/>
      </c>
      <c r="O78" s="465"/>
      <c r="U78" s="139">
        <v>26</v>
      </c>
      <c r="V78" s="149" t="e">
        <f t="shared" si="0"/>
        <v>#N/A</v>
      </c>
      <c r="W78" s="149" t="e">
        <f t="shared" si="1"/>
        <v>#N/A</v>
      </c>
      <c r="X78" s="150" t="e">
        <f t="shared" si="2"/>
        <v>#N/A</v>
      </c>
      <c r="Y78" s="149" t="e">
        <f t="shared" si="3"/>
        <v>#N/A</v>
      </c>
      <c r="Z78" s="151" t="e">
        <f t="shared" si="6"/>
        <v>#N/A</v>
      </c>
      <c r="AA78" s="152" t="e">
        <f t="shared" si="7"/>
        <v>#N/A</v>
      </c>
      <c r="AB78" s="149" t="e">
        <f t="shared" si="4"/>
        <v>#N/A</v>
      </c>
      <c r="AC78" s="149" t="e">
        <f t="shared" si="5"/>
        <v>#N/A</v>
      </c>
    </row>
    <row r="79" spans="1:29">
      <c r="B79" s="144" t="s">
        <v>40</v>
      </c>
      <c r="C79" s="406" t="str">
        <f>IF(VALUE(MID(B79,2,3))&gt;$C$50,"",IF(VALUE(MID(B79,2,3))=$C$50,$C$48,(C78+$D$40*2+$D$34)/IF($D$43="先模切后冷压",1+设计主界面!$O$19,1)))</f>
        <v/>
      </c>
      <c r="D79" s="418"/>
      <c r="E79" s="144" t="s">
        <v>40</v>
      </c>
      <c r="F79" s="406" t="str">
        <f>IF(VALUE(MID(E79,2,3))&gt;$F$50,"",IF(VALUE(MID(E79,2,3))=$F$50,$F$48,(F78+$D$40*2+$D$35)/IF($D$42="先模切后冷压",1+设计主界面!$O$20,1)))</f>
        <v/>
      </c>
      <c r="G79" s="423"/>
      <c r="H79" s="424"/>
      <c r="I79" s="421"/>
      <c r="J79" s="144" t="s">
        <v>40</v>
      </c>
      <c r="K79" s="406" t="str">
        <f>IF(VALUE(MID(J79,2,3))&gt;$K$50,"",IF(VALUE(MID(J79,2,3))=$K$50,$K$48,(K77+$D$40+$D$34/2)/IF($D$43="先模切后冷压",1+设计主界面!$O$19,1)))</f>
        <v/>
      </c>
      <c r="L79" s="418"/>
      <c r="M79" s="144" t="s">
        <v>40</v>
      </c>
      <c r="N79" s="406" t="str">
        <f>IF(VALUE(MID(M79,2,3))&gt;$N$50,"",IF(VALUE(MID(M79,2,3))=$N$50,$N$48,(N77+$D$40+$D$35/2)/IF($D$42="先模切后冷压",1+设计主界面!$O$20,1)))</f>
        <v/>
      </c>
      <c r="O79" s="465"/>
      <c r="U79" s="139">
        <v>27</v>
      </c>
      <c r="V79" s="149" t="e">
        <f t="shared" si="0"/>
        <v>#N/A</v>
      </c>
      <c r="W79" s="149" t="e">
        <f t="shared" si="1"/>
        <v>#N/A</v>
      </c>
      <c r="X79" s="150" t="e">
        <f t="shared" si="2"/>
        <v>#N/A</v>
      </c>
      <c r="Y79" s="149" t="e">
        <f t="shared" si="3"/>
        <v>#N/A</v>
      </c>
      <c r="Z79" s="151" t="e">
        <f t="shared" si="6"/>
        <v>#N/A</v>
      </c>
      <c r="AA79" s="152" t="e">
        <f t="shared" si="7"/>
        <v>#N/A</v>
      </c>
      <c r="AB79" s="149" t="e">
        <f t="shared" si="4"/>
        <v>#N/A</v>
      </c>
      <c r="AC79" s="149" t="e">
        <f t="shared" si="5"/>
        <v>#N/A</v>
      </c>
    </row>
    <row r="80" spans="1:29">
      <c r="B80" s="144" t="s">
        <v>41</v>
      </c>
      <c r="C80" s="406" t="str">
        <f>IF(VALUE(MID(B80,2,3))&gt;$C$50,"",IF(VALUE(MID(B80,2,3))=$C$50,$C$48,(C79+$D$40*2+$D$34)/IF($D$43="先模切后冷压",1+设计主界面!$O$19,1)))</f>
        <v/>
      </c>
      <c r="D80" s="418"/>
      <c r="E80" s="144" t="s">
        <v>41</v>
      </c>
      <c r="F80" s="406" t="str">
        <f>IF(VALUE(MID(E80,2,3))&gt;$F$50,"",IF(VALUE(MID(E80,2,3))=$F$50,$F$48,(F79+$D$40*2+$D$35)/IF($D$42="先模切后冷压",1+设计主界面!$O$20,1)))</f>
        <v/>
      </c>
      <c r="G80" s="423"/>
      <c r="H80" s="424"/>
      <c r="I80" s="421"/>
      <c r="J80" s="144" t="s">
        <v>41</v>
      </c>
      <c r="K80" s="406" t="str">
        <f>IF(VALUE(MID(J80,2,3))&gt;$K$50,"",IF(VALUE(MID(J80,2,3))=$K$50,$K$48,(K78+$D$40+$D$34/2)/IF($D$43="先模切后冷压",1+设计主界面!$O$19,1)))</f>
        <v/>
      </c>
      <c r="L80" s="418"/>
      <c r="M80" s="144" t="s">
        <v>41</v>
      </c>
      <c r="N80" s="406" t="str">
        <f>IF(VALUE(MID(M80,2,3))&gt;$N$50,"",IF(VALUE(MID(M80,2,3))=$N$50,$N$48,(N78+$D$40+$D$35/2)/IF($D$42="先模切后冷压",1+设计主界面!$O$20,1)))</f>
        <v/>
      </c>
      <c r="O80" s="465"/>
      <c r="U80" s="139">
        <v>28</v>
      </c>
      <c r="V80" s="149" t="e">
        <f t="shared" si="0"/>
        <v>#N/A</v>
      </c>
      <c r="W80" s="149" t="e">
        <f t="shared" si="1"/>
        <v>#N/A</v>
      </c>
      <c r="X80" s="150" t="e">
        <f t="shared" si="2"/>
        <v>#N/A</v>
      </c>
      <c r="Y80" s="149" t="e">
        <f t="shared" si="3"/>
        <v>#N/A</v>
      </c>
      <c r="Z80" s="151" t="e">
        <f t="shared" si="6"/>
        <v>#N/A</v>
      </c>
      <c r="AA80" s="152" t="e">
        <f t="shared" si="7"/>
        <v>#N/A</v>
      </c>
      <c r="AB80" s="149" t="e">
        <f t="shared" si="4"/>
        <v>#N/A</v>
      </c>
      <c r="AC80" s="149" t="e">
        <f t="shared" si="5"/>
        <v>#N/A</v>
      </c>
    </row>
    <row r="81" spans="2:29">
      <c r="B81" s="144" t="s">
        <v>42</v>
      </c>
      <c r="C81" s="406" t="str">
        <f>IF(VALUE(MID(B81,2,3))&gt;$C$50,"",IF(VALUE(MID(B81,2,3))=$C$50,$C$48,(C80+$D$40*2+$D$34)/IF($D$43="先模切后冷压",1+设计主界面!$O$19,1)))</f>
        <v/>
      </c>
      <c r="D81" s="418"/>
      <c r="E81" s="144" t="s">
        <v>42</v>
      </c>
      <c r="F81" s="406" t="str">
        <f>IF(VALUE(MID(E81,2,3))&gt;$F$50,"",IF(VALUE(MID(E81,2,3))=$F$50,$F$48,(F80+$D$40*2+$D$35)/IF($D$42="先模切后冷压",1+设计主界面!$O$20,1)))</f>
        <v/>
      </c>
      <c r="G81" s="423"/>
      <c r="H81" s="424"/>
      <c r="I81" s="421"/>
      <c r="J81" s="144" t="s">
        <v>42</v>
      </c>
      <c r="K81" s="406" t="str">
        <f>IF(VALUE(MID(J81,2,3))&gt;$K$50,"",IF(VALUE(MID(J81,2,3))=$K$50,$K$48,(K79+$D$40+$D$34/2)/IF($D$43="先模切后冷压",1+设计主界面!$O$19,1)))</f>
        <v/>
      </c>
      <c r="L81" s="418"/>
      <c r="M81" s="144" t="s">
        <v>42</v>
      </c>
      <c r="N81" s="406" t="str">
        <f>IF(VALUE(MID(M81,2,3))&gt;$N$50,"",IF(VALUE(MID(M81,2,3))=$N$50,$N$48,(N79+$D$40+$D$35/2)/IF($D$42="先模切后冷压",1+设计主界面!$O$20,1)))</f>
        <v/>
      </c>
      <c r="O81" s="465"/>
      <c r="U81" s="139">
        <v>29</v>
      </c>
      <c r="V81" s="149" t="e">
        <f t="shared" si="0"/>
        <v>#N/A</v>
      </c>
      <c r="W81" s="149" t="e">
        <f t="shared" si="1"/>
        <v>#N/A</v>
      </c>
      <c r="X81" s="150" t="e">
        <f t="shared" si="2"/>
        <v>#N/A</v>
      </c>
      <c r="Y81" s="149" t="e">
        <f t="shared" si="3"/>
        <v>#N/A</v>
      </c>
      <c r="Z81" s="151" t="e">
        <f t="shared" si="6"/>
        <v>#N/A</v>
      </c>
      <c r="AA81" s="152" t="e">
        <f t="shared" si="7"/>
        <v>#N/A</v>
      </c>
      <c r="AB81" s="149" t="e">
        <f t="shared" si="4"/>
        <v>#N/A</v>
      </c>
      <c r="AC81" s="149" t="e">
        <f t="shared" si="5"/>
        <v>#N/A</v>
      </c>
    </row>
    <row r="82" spans="2:29">
      <c r="B82" s="144" t="s">
        <v>43</v>
      </c>
      <c r="C82" s="406" t="str">
        <f>IF(VALUE(MID(B82,2,3))&gt;$C$50,"",IF(VALUE(MID(B82,2,3))=$C$50,$C$48,(C81+$D$40*2+$D$34)/IF($D$43="先模切后冷压",1+设计主界面!$O$19,1)))</f>
        <v/>
      </c>
      <c r="D82" s="418"/>
      <c r="E82" s="144" t="s">
        <v>43</v>
      </c>
      <c r="F82" s="406" t="str">
        <f>IF(VALUE(MID(E82,2,3))&gt;$F$50,"",IF(VALUE(MID(E82,2,3))=$F$50,$F$48,(F81+$D$40*2+$D$35)/IF($D$42="先模切后冷压",1+设计主界面!$O$20,1)))</f>
        <v/>
      </c>
      <c r="G82" s="423"/>
      <c r="H82" s="424"/>
      <c r="I82" s="421"/>
      <c r="J82" s="144" t="s">
        <v>43</v>
      </c>
      <c r="K82" s="406" t="str">
        <f>IF(VALUE(MID(J82,2,3))&gt;$K$50,"",IF(VALUE(MID(J82,2,3))=$K$50,$K$48,(K80+$D$40+$D$34/2)/IF($D$43="先模切后冷压",1+设计主界面!$O$19,1)))</f>
        <v/>
      </c>
      <c r="L82" s="418"/>
      <c r="M82" s="144" t="s">
        <v>43</v>
      </c>
      <c r="N82" s="406" t="str">
        <f>IF(VALUE(MID(M82,2,3))&gt;$N$50,"",IF(VALUE(MID(M82,2,3))=$N$50,$N$48,(N80+$D$40+$D$35/2)/IF($D$42="先模切后冷压",1+设计主界面!$O$20,1)))</f>
        <v/>
      </c>
      <c r="O82" s="465"/>
      <c r="U82" s="139">
        <v>30</v>
      </c>
      <c r="V82" s="149" t="e">
        <f t="shared" si="0"/>
        <v>#N/A</v>
      </c>
      <c r="W82" s="149" t="e">
        <f t="shared" si="1"/>
        <v>#N/A</v>
      </c>
      <c r="X82" s="150" t="e">
        <f t="shared" si="2"/>
        <v>#N/A</v>
      </c>
      <c r="Y82" s="149" t="e">
        <f t="shared" si="3"/>
        <v>#N/A</v>
      </c>
      <c r="Z82" s="151" t="e">
        <f t="shared" si="6"/>
        <v>#N/A</v>
      </c>
      <c r="AA82" s="152" t="e">
        <f t="shared" si="7"/>
        <v>#N/A</v>
      </c>
      <c r="AB82" s="149" t="e">
        <f t="shared" si="4"/>
        <v>#N/A</v>
      </c>
      <c r="AC82" s="149" t="e">
        <f t="shared" si="5"/>
        <v>#N/A</v>
      </c>
    </row>
    <row r="83" spans="2:29">
      <c r="B83" s="144" t="s">
        <v>44</v>
      </c>
      <c r="C83" s="406" t="str">
        <f>IF(VALUE(MID(B83,2,3))&gt;$C$50,"",IF(VALUE(MID(B83,2,3))=$C$50,$C$48,(C82+$D$40*2+$D$34)/IF($D$43="先模切后冷压",1+设计主界面!$O$19,1)))</f>
        <v/>
      </c>
      <c r="D83" s="418"/>
      <c r="E83" s="144" t="s">
        <v>44</v>
      </c>
      <c r="F83" s="406" t="str">
        <f>IF(VALUE(MID(E83,2,3))&gt;$F$50,"",IF(VALUE(MID(E83,2,3))=$F$50,$F$48,(F82+$D$40*2+$D$35)/IF($D$42="先模切后冷压",1+设计主界面!$O$20,1)))</f>
        <v/>
      </c>
      <c r="G83" s="423"/>
      <c r="H83" s="424"/>
      <c r="I83" s="421"/>
      <c r="J83" s="144" t="s">
        <v>44</v>
      </c>
      <c r="K83" s="406" t="str">
        <f>IF(VALUE(MID(J83,2,3))&gt;$K$50,"",IF(VALUE(MID(J83,2,3))=$K$50,$K$48,(K81+$D$40+$D$34/2)/IF($D$43="先模切后冷压",1+设计主界面!$O$19,1)))</f>
        <v/>
      </c>
      <c r="L83" s="418"/>
      <c r="M83" s="144" t="s">
        <v>44</v>
      </c>
      <c r="N83" s="406" t="str">
        <f>IF(VALUE(MID(M83,2,3))&gt;$N$50,"",IF(VALUE(MID(M83,2,3))=$N$50,$N$48,(N81+$D$40+$D$35/2)/IF($D$42="先模切后冷压",1+设计主界面!$O$20,1)))</f>
        <v/>
      </c>
      <c r="O83" s="465"/>
      <c r="U83" s="140">
        <v>31</v>
      </c>
      <c r="V83" s="149" t="e">
        <f t="shared" si="0"/>
        <v>#N/A</v>
      </c>
      <c r="W83" s="153" t="e">
        <f t="shared" si="1"/>
        <v>#N/A</v>
      </c>
      <c r="X83" s="150" t="e">
        <f t="shared" si="2"/>
        <v>#N/A</v>
      </c>
      <c r="Y83" s="153" t="e">
        <f t="shared" si="3"/>
        <v>#N/A</v>
      </c>
      <c r="Z83" s="151" t="e">
        <f t="shared" si="6"/>
        <v>#N/A</v>
      </c>
      <c r="AA83" s="152" t="e">
        <f t="shared" si="7"/>
        <v>#N/A</v>
      </c>
      <c r="AB83" s="153" t="e">
        <f t="shared" si="4"/>
        <v>#N/A</v>
      </c>
      <c r="AC83" s="153" t="e">
        <f t="shared" si="5"/>
        <v>#N/A</v>
      </c>
    </row>
    <row r="84" spans="2:29">
      <c r="B84" s="144" t="s">
        <v>45</v>
      </c>
      <c r="C84" s="406" t="str">
        <f>IF(VALUE(MID(B84,2,3))&gt;$C$50,"",IF(VALUE(MID(B84,2,3))=$C$50,$C$48,(C83+$D$40*2+$D$34)/IF($D$43="先模切后冷压",1+设计主界面!$O$19,1)))</f>
        <v/>
      </c>
      <c r="D84" s="418"/>
      <c r="E84" s="144" t="s">
        <v>45</v>
      </c>
      <c r="F84" s="406" t="str">
        <f>IF(VALUE(MID(E84,2,3))&gt;$F$50,"",IF(VALUE(MID(E84,2,3))=$F$50,$F$48,(F83+$D$40*2+$D$35)/IF($D$42="先模切后冷压",1+设计主界面!$O$20,1)))</f>
        <v/>
      </c>
      <c r="G84" s="423"/>
      <c r="H84" s="424"/>
      <c r="I84" s="421"/>
      <c r="J84" s="144" t="s">
        <v>45</v>
      </c>
      <c r="K84" s="406" t="str">
        <f>IF(VALUE(MID(J84,2,3))&gt;$K$50,"",IF(VALUE(MID(J84,2,3))=$K$50,$K$48,(K82+$D$40+$D$34/2)/IF($D$43="先模切后冷压",1+设计主界面!$O$19,1)))</f>
        <v/>
      </c>
      <c r="L84" s="418"/>
      <c r="M84" s="144" t="s">
        <v>45</v>
      </c>
      <c r="N84" s="406" t="str">
        <f>IF(VALUE(MID(M84,2,3))&gt;$N$50,"",IF(VALUE(MID(M84,2,3))=$N$50,$N$48,(N82+$D$40+$D$35/2)/IF($D$42="先模切后冷压",1+设计主界面!$O$20,1)))</f>
        <v/>
      </c>
      <c r="O84" s="465"/>
      <c r="U84" s="140">
        <v>32</v>
      </c>
      <c r="V84" s="149" t="e">
        <f t="shared" si="0"/>
        <v>#N/A</v>
      </c>
      <c r="W84" s="153" t="e">
        <f t="shared" si="1"/>
        <v>#N/A</v>
      </c>
      <c r="X84" s="150" t="e">
        <f t="shared" si="2"/>
        <v>#N/A</v>
      </c>
      <c r="Y84" s="153" t="e">
        <f t="shared" si="3"/>
        <v>#N/A</v>
      </c>
      <c r="Z84" s="151" t="e">
        <f t="shared" si="6"/>
        <v>#N/A</v>
      </c>
      <c r="AA84" s="152" t="e">
        <f t="shared" si="7"/>
        <v>#N/A</v>
      </c>
      <c r="AB84" s="153" t="e">
        <f t="shared" si="4"/>
        <v>#N/A</v>
      </c>
      <c r="AC84" s="153" t="e">
        <f t="shared" si="5"/>
        <v>#N/A</v>
      </c>
    </row>
    <row r="85" spans="2:29">
      <c r="B85" s="144" t="s">
        <v>46</v>
      </c>
      <c r="C85" s="406" t="str">
        <f>IF(VALUE(MID(B85,2,3))&gt;$C$50,"",IF(VALUE(MID(B85,2,3))=$C$50,$C$48,(C84+$D$40*2+$D$34)/IF($D$43="先模切后冷压",1+设计主界面!$O$19,1)))</f>
        <v/>
      </c>
      <c r="D85" s="418"/>
      <c r="E85" s="144" t="s">
        <v>46</v>
      </c>
      <c r="F85" s="406" t="str">
        <f>IF(VALUE(MID(E85,2,3))&gt;$F$50,"",IF(VALUE(MID(E85,2,3))=$F$50,$F$48,(F84+$D$40*2+$D$35)/IF($D$42="先模切后冷压",1+设计主界面!$O$20,1)))</f>
        <v/>
      </c>
      <c r="G85" s="423"/>
      <c r="H85" s="424"/>
      <c r="I85" s="421"/>
      <c r="J85" s="144" t="s">
        <v>46</v>
      </c>
      <c r="K85" s="406" t="str">
        <f>IF(VALUE(MID(J85,2,3))&gt;$K$50,"",IF(VALUE(MID(J85,2,3))=$K$50,$K$48,(K83+$D$40+$D$34/2)/IF($D$43="先模切后冷压",1+设计主界面!$O$19,1)))</f>
        <v/>
      </c>
      <c r="L85" s="418"/>
      <c r="M85" s="144" t="s">
        <v>46</v>
      </c>
      <c r="N85" s="406" t="str">
        <f>IF(VALUE(MID(M85,2,3))&gt;$N$50,"",IF(VALUE(MID(M85,2,3))=$N$50,$N$48,(N83+$D$40+$D$35/2)/IF($D$42="先模切后冷压",1+设计主界面!$O$20,1)))</f>
        <v/>
      </c>
      <c r="O85" s="465"/>
      <c r="U85" s="140">
        <v>33</v>
      </c>
      <c r="V85" s="149" t="e">
        <f t="shared" si="0"/>
        <v>#N/A</v>
      </c>
      <c r="W85" s="153" t="e">
        <f t="shared" si="1"/>
        <v>#N/A</v>
      </c>
      <c r="X85" s="150" t="e">
        <f t="shared" si="2"/>
        <v>#N/A</v>
      </c>
      <c r="Y85" s="153" t="e">
        <f t="shared" si="3"/>
        <v>#N/A</v>
      </c>
      <c r="Z85" s="151" t="e">
        <f t="shared" si="6"/>
        <v>#N/A</v>
      </c>
      <c r="AA85" s="152" t="e">
        <f t="shared" si="7"/>
        <v>#N/A</v>
      </c>
      <c r="AB85" s="153" t="e">
        <f t="shared" si="4"/>
        <v>#N/A</v>
      </c>
      <c r="AC85" s="153" t="e">
        <f t="shared" si="5"/>
        <v>#N/A</v>
      </c>
    </row>
    <row r="86" spans="2:29">
      <c r="B86" s="144" t="s">
        <v>47</v>
      </c>
      <c r="C86" s="406" t="str">
        <f>IF(VALUE(MID(B86,2,3))&gt;$C$50,"",IF(VALUE(MID(B86,2,3))=$C$50,$C$48,(C85+$D$40*2+$D$34)/IF($D$43="先模切后冷压",1+设计主界面!$O$19,1)))</f>
        <v/>
      </c>
      <c r="D86" s="418"/>
      <c r="E86" s="144" t="s">
        <v>47</v>
      </c>
      <c r="F86" s="406" t="str">
        <f>IF(VALUE(MID(E86,2,3))&gt;$F$50,"",IF(VALUE(MID(E86,2,3))=$F$50,$F$48,(F85+$D$40*2+$D$35)/IF($D$42="先模切后冷压",1+设计主界面!$O$20,1)))</f>
        <v/>
      </c>
      <c r="G86" s="423"/>
      <c r="H86" s="424"/>
      <c r="I86" s="421"/>
      <c r="J86" s="144" t="s">
        <v>47</v>
      </c>
      <c r="K86" s="406" t="str">
        <f>IF(VALUE(MID(J86,2,3))&gt;$K$50,"",IF(VALUE(MID(J86,2,3))=$K$50,$K$48,(K84+$D$40+$D$34/2)/IF($D$43="先模切后冷压",1+设计主界面!$O$19,1)))</f>
        <v/>
      </c>
      <c r="L86" s="418"/>
      <c r="M86" s="144" t="s">
        <v>47</v>
      </c>
      <c r="N86" s="406" t="str">
        <f>IF(VALUE(MID(M86,2,3))&gt;$N$50,"",IF(VALUE(MID(M86,2,3))=$N$50,$N$48,(N84+$D$40+$D$35/2)/IF($D$42="先模切后冷压",1+设计主界面!$O$20,1)))</f>
        <v/>
      </c>
      <c r="O86" s="465"/>
      <c r="U86" s="140">
        <v>34</v>
      </c>
      <c r="V86" s="149" t="e">
        <f t="shared" ref="V86:V117" si="8">$I$32/2+INT((U85-1)/2)*$D$40/2+INT((U86-1)/2)*$D$40/2</f>
        <v>#N/A</v>
      </c>
      <c r="W86" s="153" t="e">
        <f t="shared" si="1"/>
        <v>#N/A</v>
      </c>
      <c r="X86" s="150" t="e">
        <f t="shared" ref="X86:X117" si="9">$I$32/2+INT((U85-1)/2)*$D$40/2+$D$41/2+INT((U86-1)/2)*$D$40/2+$D$41/2</f>
        <v>#N/A</v>
      </c>
      <c r="Y86" s="153" t="e">
        <f t="shared" si="3"/>
        <v>#N/A</v>
      </c>
      <c r="Z86" s="151" t="e">
        <f t="shared" si="6"/>
        <v>#N/A</v>
      </c>
      <c r="AA86" s="152" t="e">
        <f t="shared" si="7"/>
        <v>#N/A</v>
      </c>
      <c r="AB86" s="153" t="e">
        <f t="shared" ref="AB86:AB117" si="10">AB85+Z86</f>
        <v>#N/A</v>
      </c>
      <c r="AC86" s="153" t="e">
        <f t="shared" ref="AC86:AC117" si="11">AC85+AA86</f>
        <v>#N/A</v>
      </c>
    </row>
    <row r="87" spans="2:29">
      <c r="B87" s="144" t="s">
        <v>48</v>
      </c>
      <c r="C87" s="406" t="str">
        <f>IF(VALUE(MID(B87,2,3))&gt;$C$50,"",IF(VALUE(MID(B87,2,3))=$C$50,$C$48,(C86+$D$40*2+$D$34)/IF($D$43="先模切后冷压",1+设计主界面!$O$19,1)))</f>
        <v/>
      </c>
      <c r="D87" s="418"/>
      <c r="E87" s="144" t="s">
        <v>48</v>
      </c>
      <c r="F87" s="406" t="str">
        <f>IF(VALUE(MID(E87,2,3))&gt;$F$50,"",IF(VALUE(MID(E87,2,3))=$F$50,$F$48,(F86+$D$40*2+$D$35)/IF($D$42="先模切后冷压",1+设计主界面!$O$20,1)))</f>
        <v/>
      </c>
      <c r="G87" s="423"/>
      <c r="H87" s="424"/>
      <c r="I87" s="421"/>
      <c r="J87" s="144" t="s">
        <v>48</v>
      </c>
      <c r="K87" s="406" t="str">
        <f>IF(VALUE(MID(J87,2,3))&gt;$K$50,"",IF(VALUE(MID(J87,2,3))=$K$50,$K$48,(K85+$D$40+$D$34/2)/IF($D$43="先模切后冷压",1+设计主界面!$O$19,1)))</f>
        <v/>
      </c>
      <c r="L87" s="418"/>
      <c r="M87" s="144" t="s">
        <v>48</v>
      </c>
      <c r="N87" s="406" t="str">
        <f>IF(VALUE(MID(M87,2,3))&gt;$N$50,"",IF(VALUE(MID(M87,2,3))=$N$50,$N$48,(N85+$D$40+$D$35/2)/IF($D$42="先模切后冷压",1+设计主界面!$O$20,1)))</f>
        <v/>
      </c>
      <c r="O87" s="465"/>
      <c r="U87" s="140">
        <v>35</v>
      </c>
      <c r="V87" s="149" t="e">
        <f t="shared" si="8"/>
        <v>#N/A</v>
      </c>
      <c r="W87" s="153" t="e">
        <f t="shared" si="1"/>
        <v>#N/A</v>
      </c>
      <c r="X87" s="150" t="e">
        <f t="shared" si="9"/>
        <v>#N/A</v>
      </c>
      <c r="Y87" s="153" t="e">
        <f t="shared" si="3"/>
        <v>#N/A</v>
      </c>
      <c r="Z87" s="151" t="e">
        <f t="shared" ref="Z87:Z118" si="12">V87+INT((U87-1)/2)*$D$34/2</f>
        <v>#N/A</v>
      </c>
      <c r="AA87" s="152" t="e">
        <f t="shared" ref="AA87:AA118" si="13">X87+INT((U87-1)/2)/2*$D$35</f>
        <v>#N/A</v>
      </c>
      <c r="AB87" s="153" t="e">
        <f t="shared" si="10"/>
        <v>#N/A</v>
      </c>
      <c r="AC87" s="153" t="e">
        <f t="shared" si="11"/>
        <v>#N/A</v>
      </c>
    </row>
    <row r="88" spans="2:29">
      <c r="B88" s="144" t="s">
        <v>49</v>
      </c>
      <c r="C88" s="406" t="str">
        <f>IF(VALUE(MID(B88,2,3))&gt;$C$50,"",IF(VALUE(MID(B88,2,3))=$C$50,$C$48,(C87+$D$40*2+$D$34)/IF($D$43="先模切后冷压",1+设计主界面!$O$19,1)))</f>
        <v/>
      </c>
      <c r="D88" s="418"/>
      <c r="E88" s="144" t="s">
        <v>49</v>
      </c>
      <c r="F88" s="406" t="str">
        <f>IF(VALUE(MID(E88,2,3))&gt;$F$50,"",IF(VALUE(MID(E88,2,3))=$F$50,$F$48,(F87+$D$40*2+$D$35)/IF($D$42="先模切后冷压",1+设计主界面!$O$20,1)))</f>
        <v/>
      </c>
      <c r="G88" s="423"/>
      <c r="H88" s="424"/>
      <c r="I88" s="421"/>
      <c r="J88" s="144" t="s">
        <v>49</v>
      </c>
      <c r="K88" s="406" t="str">
        <f>IF(VALUE(MID(J88,2,3))&gt;$K$50,"",IF(VALUE(MID(J88,2,3))=$K$50,$K$48,(K86+$D$40+$D$34/2)/IF($D$43="先模切后冷压",1+设计主界面!$O$19,1)))</f>
        <v/>
      </c>
      <c r="L88" s="418"/>
      <c r="M88" s="144" t="s">
        <v>49</v>
      </c>
      <c r="N88" s="406" t="str">
        <f>IF(VALUE(MID(M88,2,3))&gt;$N$50,"",IF(VALUE(MID(M88,2,3))=$N$50,$N$48,(N86+$D$40+$D$35/2)/IF($D$42="先模切后冷压",1+设计主界面!$O$20,1)))</f>
        <v/>
      </c>
      <c r="O88" s="465"/>
      <c r="U88" s="140">
        <v>36</v>
      </c>
      <c r="V88" s="149" t="e">
        <f t="shared" si="8"/>
        <v>#N/A</v>
      </c>
      <c r="W88" s="153" t="e">
        <f t="shared" si="1"/>
        <v>#N/A</v>
      </c>
      <c r="X88" s="150" t="e">
        <f t="shared" si="9"/>
        <v>#N/A</v>
      </c>
      <c r="Y88" s="153" t="e">
        <f t="shared" si="3"/>
        <v>#N/A</v>
      </c>
      <c r="Z88" s="151" t="e">
        <f t="shared" si="12"/>
        <v>#N/A</v>
      </c>
      <c r="AA88" s="152" t="e">
        <f t="shared" si="13"/>
        <v>#N/A</v>
      </c>
      <c r="AB88" s="153" t="e">
        <f t="shared" si="10"/>
        <v>#N/A</v>
      </c>
      <c r="AC88" s="153" t="e">
        <f t="shared" si="11"/>
        <v>#N/A</v>
      </c>
    </row>
    <row r="89" spans="2:29">
      <c r="B89" s="144" t="s">
        <v>50</v>
      </c>
      <c r="C89" s="406" t="str">
        <f>IF(VALUE(MID(B89,2,3))&gt;$C$50,"",IF(VALUE(MID(B89,2,3))=$C$50,$C$48,(C88+$D$40*2+$D$34)/IF($D$43="先模切后冷压",1+设计主界面!$O$19,1)))</f>
        <v/>
      </c>
      <c r="D89" s="418"/>
      <c r="E89" s="144" t="s">
        <v>50</v>
      </c>
      <c r="F89" s="406" t="str">
        <f>IF(VALUE(MID(E89,2,3))&gt;$F$50,"",IF(VALUE(MID(E89,2,3))=$F$50,$F$48,(F88+$D$40*2+$D$35)/IF($D$42="先模切后冷压",1+设计主界面!$O$20,1)))</f>
        <v/>
      </c>
      <c r="G89" s="423"/>
      <c r="H89" s="424"/>
      <c r="I89" s="421"/>
      <c r="J89" s="144" t="s">
        <v>50</v>
      </c>
      <c r="K89" s="406" t="str">
        <f>IF(VALUE(MID(J89,2,3))&gt;$K$50,"",IF(VALUE(MID(J89,2,3))=$K$50,$K$48,(K87+$D$40+$D$34/2)/IF($D$43="先模切后冷压",1+设计主界面!$O$19,1)))</f>
        <v/>
      </c>
      <c r="L89" s="418"/>
      <c r="M89" s="144" t="s">
        <v>50</v>
      </c>
      <c r="N89" s="406" t="str">
        <f>IF(VALUE(MID(M89,2,3))&gt;$N$50,"",IF(VALUE(MID(M89,2,3))=$N$50,$N$48,(N87+$D$40+$D$35/2)/IF($D$42="先模切后冷压",1+设计主界面!$O$20,1)))</f>
        <v/>
      </c>
      <c r="O89" s="465"/>
      <c r="U89" s="139">
        <v>37</v>
      </c>
      <c r="V89" s="149" t="e">
        <f t="shared" si="8"/>
        <v>#N/A</v>
      </c>
      <c r="W89" s="149" t="e">
        <f t="shared" si="1"/>
        <v>#N/A</v>
      </c>
      <c r="X89" s="150" t="e">
        <f t="shared" si="9"/>
        <v>#N/A</v>
      </c>
      <c r="Y89" s="149" t="e">
        <f t="shared" si="3"/>
        <v>#N/A</v>
      </c>
      <c r="Z89" s="151" t="e">
        <f t="shared" si="12"/>
        <v>#N/A</v>
      </c>
      <c r="AA89" s="152" t="e">
        <f t="shared" si="13"/>
        <v>#N/A</v>
      </c>
      <c r="AB89" s="149" t="e">
        <f t="shared" si="10"/>
        <v>#N/A</v>
      </c>
      <c r="AC89" s="149" t="e">
        <f t="shared" si="11"/>
        <v>#N/A</v>
      </c>
    </row>
    <row r="90" spans="2:29">
      <c r="B90" s="144" t="s">
        <v>51</v>
      </c>
      <c r="C90" s="406" t="str">
        <f>IF(VALUE(MID(B90,2,3))&gt;$C$50,"",IF(VALUE(MID(B90,2,3))=$C$50,$C$48,(C89+$D$40*2+$D$34)/IF($D$43="先模切后冷压",1+设计主界面!$O$19,1)))</f>
        <v/>
      </c>
      <c r="D90" s="418"/>
      <c r="E90" s="144" t="s">
        <v>51</v>
      </c>
      <c r="F90" s="406" t="str">
        <f>IF(VALUE(MID(E90,2,3))&gt;$F$50,"",IF(VALUE(MID(E90,2,3))=$F$50,$F$48,(F89+$D$40*2+$D$35)/IF($D$42="先模切后冷压",1+设计主界面!$O$20,1)))</f>
        <v/>
      </c>
      <c r="G90" s="423"/>
      <c r="H90" s="424"/>
      <c r="I90" s="421"/>
      <c r="J90" s="144" t="s">
        <v>51</v>
      </c>
      <c r="K90" s="406" t="str">
        <f>IF(VALUE(MID(J90,2,3))&gt;$K$50,"",IF(VALUE(MID(J90,2,3))=$K$50,$K$48,(K88+$D$40+$D$34/2)/IF($D$43="先模切后冷压",1+设计主界面!$O$19,1)))</f>
        <v/>
      </c>
      <c r="L90" s="418"/>
      <c r="M90" s="144" t="s">
        <v>51</v>
      </c>
      <c r="N90" s="406" t="str">
        <f>IF(VALUE(MID(M90,2,3))&gt;$N$50,"",IF(VALUE(MID(M90,2,3))=$N$50,$N$48,(N88+$D$40+$D$35/2)/IF($D$42="先模切后冷压",1+设计主界面!$O$20,1)))</f>
        <v/>
      </c>
      <c r="O90" s="465"/>
      <c r="U90" s="139">
        <v>38</v>
      </c>
      <c r="V90" s="149" t="e">
        <f t="shared" si="8"/>
        <v>#N/A</v>
      </c>
      <c r="W90" s="149" t="e">
        <f t="shared" si="1"/>
        <v>#N/A</v>
      </c>
      <c r="X90" s="150" t="e">
        <f t="shared" si="9"/>
        <v>#N/A</v>
      </c>
      <c r="Y90" s="149" t="e">
        <f t="shared" si="3"/>
        <v>#N/A</v>
      </c>
      <c r="Z90" s="151" t="e">
        <f t="shared" si="12"/>
        <v>#N/A</v>
      </c>
      <c r="AA90" s="152" t="e">
        <f t="shared" si="13"/>
        <v>#N/A</v>
      </c>
      <c r="AB90" s="149" t="e">
        <f t="shared" si="10"/>
        <v>#N/A</v>
      </c>
      <c r="AC90" s="149" t="e">
        <f t="shared" si="11"/>
        <v>#N/A</v>
      </c>
    </row>
    <row r="91" spans="2:29">
      <c r="B91" s="144" t="s">
        <v>52</v>
      </c>
      <c r="C91" s="406" t="str">
        <f>IF(VALUE(MID(B91,2,3))&gt;$C$50,"",IF(VALUE(MID(B91,2,3))=$C$50,$C$48,(C90+$D$40*2+$D$34)/IF($D$43="先模切后冷压",1+设计主界面!$O$19,1)))</f>
        <v/>
      </c>
      <c r="D91" s="418"/>
      <c r="E91" s="144" t="s">
        <v>52</v>
      </c>
      <c r="F91" s="406" t="str">
        <f>IF(VALUE(MID(E91,2,3))&gt;$F$50,"",IF(VALUE(MID(E91,2,3))=$F$50,$F$48,(F90+$D$40*2+$D$35)/IF($D$42="先模切后冷压",1+设计主界面!$O$20,1)))</f>
        <v/>
      </c>
      <c r="G91" s="423"/>
      <c r="H91" s="424"/>
      <c r="I91" s="421"/>
      <c r="J91" s="144" t="s">
        <v>52</v>
      </c>
      <c r="K91" s="406" t="str">
        <f>IF(VALUE(MID(J91,2,3))&gt;$K$50,"",IF(VALUE(MID(J91,2,3))=$K$50,$K$48,(K89+$D$40+$D$34/2)/IF($D$43="先模切后冷压",1+设计主界面!$O$19,1)))</f>
        <v/>
      </c>
      <c r="L91" s="418"/>
      <c r="M91" s="144" t="s">
        <v>52</v>
      </c>
      <c r="N91" s="406" t="str">
        <f>IF(VALUE(MID(M91,2,3))&gt;$N$50,"",IF(VALUE(MID(M91,2,3))=$N$50,$N$48,(N89+$D$40+$D$35/2)/IF($D$42="先模切后冷压",1+设计主界面!$O$20,1)))</f>
        <v/>
      </c>
      <c r="O91" s="465"/>
      <c r="U91" s="139">
        <v>39</v>
      </c>
      <c r="V91" s="149" t="e">
        <f t="shared" si="8"/>
        <v>#N/A</v>
      </c>
      <c r="W91" s="149" t="e">
        <f t="shared" si="1"/>
        <v>#N/A</v>
      </c>
      <c r="X91" s="150" t="e">
        <f t="shared" si="9"/>
        <v>#N/A</v>
      </c>
      <c r="Y91" s="149" t="e">
        <f t="shared" si="3"/>
        <v>#N/A</v>
      </c>
      <c r="Z91" s="151" t="e">
        <f t="shared" si="12"/>
        <v>#N/A</v>
      </c>
      <c r="AA91" s="152" t="e">
        <f t="shared" si="13"/>
        <v>#N/A</v>
      </c>
      <c r="AB91" s="149" t="e">
        <f t="shared" si="10"/>
        <v>#N/A</v>
      </c>
      <c r="AC91" s="149" t="e">
        <f t="shared" si="11"/>
        <v>#N/A</v>
      </c>
    </row>
    <row r="92" spans="2:29">
      <c r="B92" s="144" t="s">
        <v>53</v>
      </c>
      <c r="C92" s="406" t="str">
        <f>IF(VALUE(MID(B92,2,3))&gt;$C$50,"",IF(VALUE(MID(B92,2,3))=$C$50,$C$48,(C91+$D$40*2+$D$34)/IF($D$43="先模切后冷压",1+设计主界面!$O$19,1)))</f>
        <v/>
      </c>
      <c r="D92" s="418"/>
      <c r="E92" s="144" t="s">
        <v>53</v>
      </c>
      <c r="F92" s="406" t="str">
        <f>IF(VALUE(MID(E92,2,3))&gt;$F$50,"",IF(VALUE(MID(E92,2,3))=$F$50,$F$48,(F91+$D$40*2+$D$35)/IF($D$42="先模切后冷压",1+设计主界面!$O$20,1)))</f>
        <v/>
      </c>
      <c r="G92" s="423"/>
      <c r="H92" s="424"/>
      <c r="I92" s="421"/>
      <c r="J92" s="144" t="s">
        <v>53</v>
      </c>
      <c r="K92" s="406" t="str">
        <f>IF(VALUE(MID(J92,2,3))&gt;$K$50,"",IF(VALUE(MID(J92,2,3))=$K$50,$K$48,(K90+$D$40+$D$34/2)/IF($D$43="先模切后冷压",1+设计主界面!$O$19,1)))</f>
        <v/>
      </c>
      <c r="L92" s="418"/>
      <c r="M92" s="144" t="s">
        <v>53</v>
      </c>
      <c r="N92" s="406" t="str">
        <f>IF(VALUE(MID(M92,2,3))&gt;$N$50,"",IF(VALUE(MID(M92,2,3))=$N$50,$N$48,(N90+$D$40+$D$35/2)/IF($D$42="先模切后冷压",1+设计主界面!$O$20,1)))</f>
        <v/>
      </c>
      <c r="O92" s="465"/>
      <c r="U92" s="144">
        <v>40</v>
      </c>
      <c r="V92" s="149" t="e">
        <f t="shared" si="8"/>
        <v>#N/A</v>
      </c>
      <c r="W92" s="150" t="e">
        <f t="shared" si="1"/>
        <v>#N/A</v>
      </c>
      <c r="X92" s="150" t="e">
        <f t="shared" si="9"/>
        <v>#N/A</v>
      </c>
      <c r="Y92" s="150" t="e">
        <f t="shared" si="3"/>
        <v>#N/A</v>
      </c>
      <c r="Z92" s="151" t="e">
        <f t="shared" si="12"/>
        <v>#N/A</v>
      </c>
      <c r="AA92" s="152" t="e">
        <f t="shared" si="13"/>
        <v>#N/A</v>
      </c>
      <c r="AB92" s="150" t="e">
        <f t="shared" si="10"/>
        <v>#N/A</v>
      </c>
      <c r="AC92" s="150" t="e">
        <f t="shared" si="11"/>
        <v>#N/A</v>
      </c>
    </row>
    <row r="93" spans="2:29">
      <c r="B93" s="144" t="s">
        <v>54</v>
      </c>
      <c r="C93" s="406" t="str">
        <f>IF(VALUE(MID(B93,2,3))&gt;$C$50,"",IF(VALUE(MID(B93,2,3))=$C$50,$C$48,(C92+$D$40*2+$D$34)/IF($D$43="先模切后冷压",1+设计主界面!$O$19,1)))</f>
        <v/>
      </c>
      <c r="D93" s="418"/>
      <c r="E93" s="144" t="s">
        <v>54</v>
      </c>
      <c r="F93" s="406" t="str">
        <f>IF(VALUE(MID(E93,2,3))&gt;$F$50,"",IF(VALUE(MID(E93,2,3))=$F$50,$F$48,(F92+$D$40*2+$D$35)/IF($D$42="先模切后冷压",1+设计主界面!$O$20,1)))</f>
        <v/>
      </c>
      <c r="G93" s="423"/>
      <c r="H93" s="424"/>
      <c r="I93" s="421"/>
      <c r="J93" s="144" t="s">
        <v>54</v>
      </c>
      <c r="K93" s="406" t="str">
        <f>IF(VALUE(MID(J93,2,3))&gt;$K$50,"",IF(VALUE(MID(J93,2,3))=$K$50,$K$48,(K91+$D$40+$D$34/2)/IF($D$43="先模切后冷压",1+设计主界面!$O$19,1)))</f>
        <v/>
      </c>
      <c r="L93" s="418"/>
      <c r="M93" s="144" t="s">
        <v>54</v>
      </c>
      <c r="N93" s="406" t="str">
        <f>IF(VALUE(MID(M93,2,3))&gt;$N$50,"",IF(VALUE(MID(M93,2,3))=$N$50,$N$48,(N91+$D$40+$D$35/2)/IF($D$42="先模切后冷压",1+设计主界面!$O$20,1)))</f>
        <v/>
      </c>
      <c r="O93" s="465"/>
      <c r="U93" s="144">
        <v>41</v>
      </c>
      <c r="V93" s="149" t="e">
        <f t="shared" si="8"/>
        <v>#N/A</v>
      </c>
      <c r="W93" s="150" t="e">
        <f t="shared" si="1"/>
        <v>#N/A</v>
      </c>
      <c r="X93" s="150" t="e">
        <f t="shared" si="9"/>
        <v>#N/A</v>
      </c>
      <c r="Y93" s="150" t="e">
        <f t="shared" si="3"/>
        <v>#N/A</v>
      </c>
      <c r="Z93" s="151" t="e">
        <f t="shared" si="12"/>
        <v>#N/A</v>
      </c>
      <c r="AA93" s="152" t="e">
        <f t="shared" si="13"/>
        <v>#N/A</v>
      </c>
      <c r="AB93" s="150" t="e">
        <f t="shared" si="10"/>
        <v>#N/A</v>
      </c>
      <c r="AC93" s="150" t="e">
        <f t="shared" si="11"/>
        <v>#N/A</v>
      </c>
    </row>
    <row r="94" spans="2:29">
      <c r="B94" s="144" t="s">
        <v>55</v>
      </c>
      <c r="C94" s="406" t="str">
        <f>IF(VALUE(MID(B94,2,3))&gt;$C$50,"",IF(VALUE(MID(B94,2,3))=$C$50,$C$48,(C93+$D$40*2+$D$34)/IF($D$43="先模切后冷压",1+设计主界面!$O$19,1)))</f>
        <v/>
      </c>
      <c r="D94" s="418"/>
      <c r="E94" s="144" t="s">
        <v>55</v>
      </c>
      <c r="F94" s="406" t="str">
        <f>IF(VALUE(MID(E94,2,3))&gt;$F$50,"",IF(VALUE(MID(E94,2,3))=$F$50,$F$48,(F93+$D$40*2+$D$35)/IF($D$42="先模切后冷压",1+设计主界面!$O$20,1)))</f>
        <v/>
      </c>
      <c r="G94" s="423"/>
      <c r="H94" s="424"/>
      <c r="I94" s="421"/>
      <c r="J94" s="144" t="s">
        <v>55</v>
      </c>
      <c r="K94" s="406" t="str">
        <f>IF(VALUE(MID(J94,2,3))&gt;$K$50,"",IF(VALUE(MID(J94,2,3))=$K$50,$K$48,(K92+$D$40+$D$34/2)/IF($D$43="先模切后冷压",1+设计主界面!$O$19,1)))</f>
        <v/>
      </c>
      <c r="L94" s="418"/>
      <c r="M94" s="144" t="s">
        <v>55</v>
      </c>
      <c r="N94" s="406" t="str">
        <f>IF(VALUE(MID(M94,2,3))&gt;$N$50,"",IF(VALUE(MID(M94,2,3))=$N$50,$N$48,(N92+$D$40+$D$35/2)/IF($D$42="先模切后冷压",1+设计主界面!$O$20,1)))</f>
        <v/>
      </c>
      <c r="O94" s="465"/>
      <c r="U94" s="144">
        <v>42</v>
      </c>
      <c r="V94" s="149" t="e">
        <f t="shared" si="8"/>
        <v>#N/A</v>
      </c>
      <c r="W94" s="150" t="e">
        <f t="shared" si="1"/>
        <v>#N/A</v>
      </c>
      <c r="X94" s="150" t="e">
        <f t="shared" si="9"/>
        <v>#N/A</v>
      </c>
      <c r="Y94" s="150" t="e">
        <f t="shared" si="3"/>
        <v>#N/A</v>
      </c>
      <c r="Z94" s="151" t="e">
        <f t="shared" si="12"/>
        <v>#N/A</v>
      </c>
      <c r="AA94" s="152" t="e">
        <f t="shared" si="13"/>
        <v>#N/A</v>
      </c>
      <c r="AB94" s="150" t="e">
        <f t="shared" si="10"/>
        <v>#N/A</v>
      </c>
      <c r="AC94" s="150" t="e">
        <f t="shared" si="11"/>
        <v>#N/A</v>
      </c>
    </row>
    <row r="95" spans="2:29">
      <c r="B95" s="144" t="s">
        <v>56</v>
      </c>
      <c r="C95" s="406" t="str">
        <f>IF(VALUE(MID(B95,2,3))&gt;$C$50,"",IF(VALUE(MID(B95,2,3))=$C$50,$C$48,(C94+$D$40*2+$D$34)/IF($D$43="先模切后冷压",1+设计主界面!$O$19,1)))</f>
        <v/>
      </c>
      <c r="D95" s="418"/>
      <c r="E95" s="144" t="s">
        <v>56</v>
      </c>
      <c r="F95" s="406" t="str">
        <f>IF(VALUE(MID(E95,2,3))&gt;$F$50,"",IF(VALUE(MID(E95,2,3))=$F$50,$F$48,(F94+$D$40*2+$D$35)/IF($D$42="先模切后冷压",1+设计主界面!$O$20,1)))</f>
        <v/>
      </c>
      <c r="G95" s="423"/>
      <c r="H95" s="424"/>
      <c r="I95" s="421"/>
      <c r="J95" s="144" t="s">
        <v>56</v>
      </c>
      <c r="K95" s="406" t="str">
        <f>IF(VALUE(MID(J95,2,3))&gt;$K$50,"",IF(VALUE(MID(J95,2,3))=$K$50,$K$48,(K93+$D$40+$D$34/2)/IF($D$43="先模切后冷压",1+设计主界面!$O$19,1)))</f>
        <v/>
      </c>
      <c r="L95" s="418"/>
      <c r="M95" s="144" t="s">
        <v>56</v>
      </c>
      <c r="N95" s="406" t="str">
        <f>IF(VALUE(MID(M95,2,3))&gt;$N$50,"",IF(VALUE(MID(M95,2,3))=$N$50,$N$48,(N93+$D$40+$D$35/2)/IF($D$42="先模切后冷压",1+设计主界面!$O$20,1)))</f>
        <v/>
      </c>
      <c r="O95" s="465"/>
      <c r="U95" s="139">
        <v>43</v>
      </c>
      <c r="V95" s="149" t="e">
        <f t="shared" si="8"/>
        <v>#N/A</v>
      </c>
      <c r="W95" s="149" t="e">
        <f t="shared" si="1"/>
        <v>#N/A</v>
      </c>
      <c r="X95" s="150" t="e">
        <f t="shared" si="9"/>
        <v>#N/A</v>
      </c>
      <c r="Y95" s="149" t="e">
        <f t="shared" si="3"/>
        <v>#N/A</v>
      </c>
      <c r="Z95" s="151" t="e">
        <f t="shared" si="12"/>
        <v>#N/A</v>
      </c>
      <c r="AA95" s="152" t="e">
        <f t="shared" si="13"/>
        <v>#N/A</v>
      </c>
      <c r="AB95" s="149" t="e">
        <f t="shared" si="10"/>
        <v>#N/A</v>
      </c>
      <c r="AC95" s="149" t="e">
        <f t="shared" si="11"/>
        <v>#N/A</v>
      </c>
    </row>
    <row r="96" spans="2:29">
      <c r="B96" s="144" t="s">
        <v>338</v>
      </c>
      <c r="C96" s="406" t="str">
        <f>IF(VALUE(MID(B96,2,3))&gt;$C$50,"",IF(VALUE(MID(B96,2,3))=$C$50,$C$48,(C95+$D$40*2+$D$34)/IF($D$43="先模切后冷压",1+设计主界面!$O$19,1)))</f>
        <v/>
      </c>
      <c r="D96" s="418"/>
      <c r="E96" s="144" t="s">
        <v>338</v>
      </c>
      <c r="F96" s="406" t="str">
        <f>IF(VALUE(MID(E96,2,3))&gt;$F$50,"",IF(VALUE(MID(E96,2,3))=$F$50,$F$48,(F95+$D$40*2+$D$35)/IF($D$42="先模切后冷压",1+设计主界面!$O$20,1)))</f>
        <v/>
      </c>
      <c r="G96" s="423"/>
      <c r="H96" s="424"/>
      <c r="I96" s="421"/>
      <c r="J96" s="144" t="s">
        <v>338</v>
      </c>
      <c r="K96" s="406" t="str">
        <f>IF(VALUE(MID(J96,2,3))&gt;$K$50,"",IF(VALUE(MID(J96,2,3))=$K$50,$K$48,(K94+$D$40+$D$34/2)/IF($D$43="先模切后冷压",1+设计主界面!$O$19,1)))</f>
        <v/>
      </c>
      <c r="L96" s="418"/>
      <c r="M96" s="144" t="s">
        <v>338</v>
      </c>
      <c r="N96" s="406" t="str">
        <f>IF(VALUE(MID(M96,2,3))&gt;$N$50,"",IF(VALUE(MID(M96,2,3))=$N$50,$N$48,(N94+$D$40+$D$35/2)/IF($D$42="先模切后冷压",1+设计主界面!$O$20,1)))</f>
        <v/>
      </c>
      <c r="O96" s="465"/>
      <c r="U96" s="139">
        <v>44</v>
      </c>
      <c r="V96" s="149" t="e">
        <f t="shared" si="8"/>
        <v>#N/A</v>
      </c>
      <c r="W96" s="149" t="e">
        <f t="shared" si="1"/>
        <v>#N/A</v>
      </c>
      <c r="X96" s="150" t="e">
        <f t="shared" si="9"/>
        <v>#N/A</v>
      </c>
      <c r="Y96" s="149" t="e">
        <f t="shared" si="3"/>
        <v>#N/A</v>
      </c>
      <c r="Z96" s="151" t="e">
        <f t="shared" si="12"/>
        <v>#N/A</v>
      </c>
      <c r="AA96" s="152" t="e">
        <f t="shared" si="13"/>
        <v>#N/A</v>
      </c>
      <c r="AB96" s="149" t="e">
        <f t="shared" si="10"/>
        <v>#N/A</v>
      </c>
      <c r="AC96" s="149" t="e">
        <f t="shared" si="11"/>
        <v>#N/A</v>
      </c>
    </row>
    <row r="97" spans="2:29">
      <c r="B97" s="144" t="s">
        <v>339</v>
      </c>
      <c r="C97" s="406" t="str">
        <f>IF(VALUE(MID(B97,2,3))&gt;$C$50,"",IF(VALUE(MID(B97,2,3))=$C$50,$C$48,(C96+$D$40*2+$D$34)/IF($D$43="先模切后冷压",1+设计主界面!$O$19,1)))</f>
        <v/>
      </c>
      <c r="D97" s="418"/>
      <c r="E97" s="144" t="s">
        <v>339</v>
      </c>
      <c r="F97" s="406" t="str">
        <f>IF(VALUE(MID(E97,2,3))&gt;$F$50,"",IF(VALUE(MID(E97,2,3))=$F$50,$F$48,(F96+$D$40*2+$D$35)/IF($D$42="先模切后冷压",1+设计主界面!$O$20,1)))</f>
        <v/>
      </c>
      <c r="G97" s="423"/>
      <c r="H97" s="424"/>
      <c r="I97" s="421"/>
      <c r="J97" s="144" t="s">
        <v>339</v>
      </c>
      <c r="K97" s="406" t="str">
        <f>IF(VALUE(MID(J97,2,3))&gt;$K$50,"",IF(VALUE(MID(J97,2,3))=$K$50,$K$48,(K95+$D$40+$D$34/2)/IF($D$43="先模切后冷压",1+设计主界面!$O$19,1)))</f>
        <v/>
      </c>
      <c r="L97" s="418"/>
      <c r="M97" s="144" t="s">
        <v>339</v>
      </c>
      <c r="N97" s="406" t="str">
        <f>IF(VALUE(MID(M97,2,3))&gt;$N$50,"",IF(VALUE(MID(M97,2,3))=$N$50,$N$48,(N95+$D$40+$D$35/2)/IF($D$42="先模切后冷压",1+设计主界面!$O$20,1)))</f>
        <v/>
      </c>
      <c r="O97" s="465"/>
      <c r="U97" s="139">
        <v>45</v>
      </c>
      <c r="V97" s="149" t="e">
        <f t="shared" si="8"/>
        <v>#N/A</v>
      </c>
      <c r="W97" s="149" t="e">
        <f t="shared" si="1"/>
        <v>#N/A</v>
      </c>
      <c r="X97" s="150" t="e">
        <f t="shared" si="9"/>
        <v>#N/A</v>
      </c>
      <c r="Y97" s="149" t="e">
        <f t="shared" si="3"/>
        <v>#N/A</v>
      </c>
      <c r="Z97" s="151" t="e">
        <f t="shared" si="12"/>
        <v>#N/A</v>
      </c>
      <c r="AA97" s="152" t="e">
        <f t="shared" si="13"/>
        <v>#N/A</v>
      </c>
      <c r="AB97" s="149" t="e">
        <f t="shared" si="10"/>
        <v>#N/A</v>
      </c>
      <c r="AC97" s="149" t="e">
        <f t="shared" si="11"/>
        <v>#N/A</v>
      </c>
    </row>
    <row r="98" spans="2:29">
      <c r="B98" s="144" t="s">
        <v>340</v>
      </c>
      <c r="C98" s="406" t="str">
        <f>IF(VALUE(MID(B98,2,3))&gt;$C$50,"",IF(VALUE(MID(B98,2,3))=$C$50,$C$48,(C97+$D$40*2+$D$34)/IF($D$43="先模切后冷压",1+设计主界面!$O$19,1)))</f>
        <v/>
      </c>
      <c r="D98" s="418"/>
      <c r="E98" s="144" t="s">
        <v>340</v>
      </c>
      <c r="F98" s="406" t="str">
        <f>IF(VALUE(MID(E98,2,3))&gt;$F$50,"",IF(VALUE(MID(E98,2,3))=$F$50,$F$48,(F97+$D$40*2+$D$35)/IF($D$42="先模切后冷压",1+设计主界面!$O$20,1)))</f>
        <v/>
      </c>
      <c r="G98" s="423"/>
      <c r="H98" s="424"/>
      <c r="I98" s="421"/>
      <c r="J98" s="144" t="s">
        <v>340</v>
      </c>
      <c r="K98" s="406" t="str">
        <f>IF(VALUE(MID(J98,2,3))&gt;$K$50,"",IF(VALUE(MID(J98,2,3))=$K$50,$K$48,(K96+$D$40+$D$34/2)/IF($D$43="先模切后冷压",1+设计主界面!$O$19,1)))</f>
        <v/>
      </c>
      <c r="L98" s="418"/>
      <c r="M98" s="144" t="s">
        <v>340</v>
      </c>
      <c r="N98" s="406" t="str">
        <f>IF(VALUE(MID(M98,2,3))&gt;$N$50,"",IF(VALUE(MID(M98,2,3))=$N$50,$N$48,(N96+$D$40+$D$35/2)/IF($D$42="先模切后冷压",1+设计主界面!$O$20,1)))</f>
        <v/>
      </c>
      <c r="O98" s="465"/>
      <c r="U98" s="139">
        <v>46</v>
      </c>
      <c r="V98" s="149" t="e">
        <f t="shared" si="8"/>
        <v>#N/A</v>
      </c>
      <c r="W98" s="149" t="e">
        <f t="shared" si="1"/>
        <v>#N/A</v>
      </c>
      <c r="X98" s="150" t="e">
        <f t="shared" si="9"/>
        <v>#N/A</v>
      </c>
      <c r="Y98" s="149" t="e">
        <f t="shared" si="3"/>
        <v>#N/A</v>
      </c>
      <c r="Z98" s="151" t="e">
        <f t="shared" si="12"/>
        <v>#N/A</v>
      </c>
      <c r="AA98" s="152" t="e">
        <f t="shared" si="13"/>
        <v>#N/A</v>
      </c>
      <c r="AB98" s="149" t="e">
        <f t="shared" si="10"/>
        <v>#N/A</v>
      </c>
      <c r="AC98" s="149" t="e">
        <f t="shared" si="11"/>
        <v>#N/A</v>
      </c>
    </row>
    <row r="99" spans="2:29">
      <c r="B99" s="144" t="s">
        <v>341</v>
      </c>
      <c r="C99" s="406" t="str">
        <f>IF(VALUE(MID(B99,2,3))&gt;$C$50,"",IF(VALUE(MID(B99,2,3))=$C$50,$C$48,(C98+$D$40*2+$D$34)/IF($D$43="先模切后冷压",1+设计主界面!$O$19,1)))</f>
        <v/>
      </c>
      <c r="D99" s="418"/>
      <c r="E99" s="144" t="s">
        <v>341</v>
      </c>
      <c r="F99" s="406" t="str">
        <f>IF(VALUE(MID(E99,2,3))&gt;$F$50,"",IF(VALUE(MID(E99,2,3))=$F$50,$F$48,(F98+$D$40*2+$D$35)/IF($D$42="先模切后冷压",1+设计主界面!$O$20,1)))</f>
        <v/>
      </c>
      <c r="G99" s="423"/>
      <c r="H99" s="424"/>
      <c r="I99" s="421"/>
      <c r="J99" s="144" t="s">
        <v>341</v>
      </c>
      <c r="K99" s="406" t="str">
        <f>IF(VALUE(MID(J99,2,3))&gt;$K$50,"",IF(VALUE(MID(J99,2,3))=$K$50,$K$48,(K97+$D$40+$D$34/2)/IF($D$43="先模切后冷压",1+设计主界面!$O$19,1)))</f>
        <v/>
      </c>
      <c r="L99" s="418"/>
      <c r="M99" s="144" t="s">
        <v>341</v>
      </c>
      <c r="N99" s="406" t="str">
        <f>IF(VALUE(MID(M99,2,3))&gt;$N$50,"",IF(VALUE(MID(M99,2,3))=$N$50,$N$48,(N97+$D$40+$D$35/2)/IF($D$42="先模切后冷压",1+设计主界面!$O$20,1)))</f>
        <v/>
      </c>
      <c r="O99" s="465"/>
      <c r="U99" s="139">
        <v>47</v>
      </c>
      <c r="V99" s="149" t="e">
        <f t="shared" si="8"/>
        <v>#N/A</v>
      </c>
      <c r="W99" s="149" t="e">
        <f t="shared" si="1"/>
        <v>#N/A</v>
      </c>
      <c r="X99" s="150" t="e">
        <f t="shared" si="9"/>
        <v>#N/A</v>
      </c>
      <c r="Y99" s="149" t="e">
        <f t="shared" si="3"/>
        <v>#N/A</v>
      </c>
      <c r="Z99" s="151" t="e">
        <f t="shared" si="12"/>
        <v>#N/A</v>
      </c>
      <c r="AA99" s="152" t="e">
        <f t="shared" si="13"/>
        <v>#N/A</v>
      </c>
      <c r="AB99" s="149" t="e">
        <f t="shared" si="10"/>
        <v>#N/A</v>
      </c>
      <c r="AC99" s="149" t="e">
        <f t="shared" si="11"/>
        <v>#N/A</v>
      </c>
    </row>
    <row r="100" spans="2:29">
      <c r="B100" s="144" t="s">
        <v>342</v>
      </c>
      <c r="C100" s="406" t="str">
        <f>IF(VALUE(MID(B100,2,3))&gt;$C$50,"",IF(VALUE(MID(B100,2,3))=$C$50,$C$48,(C99+$D$40*2+$D$34)/IF($D$43="先模切后冷压",1+设计主界面!$O$19,1)))</f>
        <v/>
      </c>
      <c r="D100" s="418"/>
      <c r="E100" s="144" t="s">
        <v>342</v>
      </c>
      <c r="F100" s="406" t="str">
        <f>IF(VALUE(MID(E100,2,3))&gt;$F$50,"",IF(VALUE(MID(E100,2,3))=$F$50,$F$48,(F99+$D$40*2+$D$35)/IF($D$42="先模切后冷压",1+设计主界面!$O$20,1)))</f>
        <v/>
      </c>
      <c r="G100" s="423"/>
      <c r="H100" s="424"/>
      <c r="I100" s="421"/>
      <c r="J100" s="144" t="s">
        <v>342</v>
      </c>
      <c r="K100" s="406" t="str">
        <f>IF(VALUE(MID(J100,2,3))&gt;$K$50,"",IF(VALUE(MID(J100,2,3))=$K$50,$K$48,(K98+$D$40+$D$34/2)/IF($D$43="先模切后冷压",1+设计主界面!$O$19,1)))</f>
        <v/>
      </c>
      <c r="L100" s="418"/>
      <c r="M100" s="144" t="s">
        <v>342</v>
      </c>
      <c r="N100" s="406" t="str">
        <f>IF(VALUE(MID(M100,2,3))&gt;$N$50,"",IF(VALUE(MID(M100,2,3))=$N$50,$N$48,(N98+$D$40+$D$35/2)/IF($D$42="先模切后冷压",1+设计主界面!$O$20,1)))</f>
        <v/>
      </c>
      <c r="O100" s="465"/>
      <c r="U100" s="139">
        <v>48</v>
      </c>
      <c r="V100" s="149" t="e">
        <f t="shared" si="8"/>
        <v>#N/A</v>
      </c>
      <c r="W100" s="149" t="e">
        <f t="shared" si="1"/>
        <v>#N/A</v>
      </c>
      <c r="X100" s="150" t="e">
        <f t="shared" si="9"/>
        <v>#N/A</v>
      </c>
      <c r="Y100" s="149" t="e">
        <f t="shared" si="3"/>
        <v>#N/A</v>
      </c>
      <c r="Z100" s="151" t="e">
        <f t="shared" si="12"/>
        <v>#N/A</v>
      </c>
      <c r="AA100" s="152" t="e">
        <f t="shared" si="13"/>
        <v>#N/A</v>
      </c>
      <c r="AB100" s="149" t="e">
        <f t="shared" si="10"/>
        <v>#N/A</v>
      </c>
      <c r="AC100" s="149" t="e">
        <f t="shared" si="11"/>
        <v>#N/A</v>
      </c>
    </row>
    <row r="101" spans="2:29">
      <c r="B101" s="144" t="s">
        <v>352</v>
      </c>
      <c r="C101" s="406" t="str">
        <f>IF(VALUE(MID(B101,2,3))&gt;$C$50,"",IF(VALUE(MID(B101,2,3))=$C$50,$C$48,(C100+$D$40*2+$D$34)/IF($D$43="先模切后冷压",1+设计主界面!$O$19,1)))</f>
        <v/>
      </c>
      <c r="D101" s="418"/>
      <c r="E101" s="144" t="s">
        <v>352</v>
      </c>
      <c r="F101" s="406" t="str">
        <f>IF(VALUE(MID(E101,2,3))&gt;$F$50,"",IF(VALUE(MID(E101,2,3))=$F$50,$F$48,(F100+$D$40*2+$D$35)/IF($D$42="先模切后冷压",1+设计主界面!$O$20,1)))</f>
        <v/>
      </c>
      <c r="G101" s="423"/>
      <c r="H101" s="424"/>
      <c r="I101" s="421"/>
      <c r="J101" s="144" t="s">
        <v>352</v>
      </c>
      <c r="K101" s="406" t="str">
        <f>IF(VALUE(MID(J101,2,3))&gt;$K$50,"",IF(VALUE(MID(J101,2,3))=$K$50,$K$48,(K99+$D$40+$D$34/2)/IF($D$43="先模切后冷压",1+设计主界面!$O$19,1)))</f>
        <v/>
      </c>
      <c r="L101" s="418"/>
      <c r="M101" s="144" t="s">
        <v>352</v>
      </c>
      <c r="N101" s="406" t="str">
        <f>IF(VALUE(MID(M101,2,3))&gt;$N$50,"",IF(VALUE(MID(M101,2,3))=$N$50,$N$48,(N99+$D$40+$D$35/2)/IF($D$42="先模切后冷压",1+设计主界面!$O$20,1)))</f>
        <v/>
      </c>
      <c r="O101" s="465"/>
      <c r="U101" s="139">
        <v>49</v>
      </c>
      <c r="V101" s="149" t="e">
        <f t="shared" si="8"/>
        <v>#N/A</v>
      </c>
      <c r="W101" s="149" t="e">
        <f t="shared" si="1"/>
        <v>#N/A</v>
      </c>
      <c r="X101" s="150" t="e">
        <f t="shared" si="9"/>
        <v>#N/A</v>
      </c>
      <c r="Y101" s="149" t="e">
        <f t="shared" si="3"/>
        <v>#N/A</v>
      </c>
      <c r="Z101" s="151" t="e">
        <f t="shared" si="12"/>
        <v>#N/A</v>
      </c>
      <c r="AA101" s="152" t="e">
        <f t="shared" si="13"/>
        <v>#N/A</v>
      </c>
      <c r="AB101" s="149" t="e">
        <f t="shared" si="10"/>
        <v>#N/A</v>
      </c>
      <c r="AC101" s="149" t="e">
        <f t="shared" si="11"/>
        <v>#N/A</v>
      </c>
    </row>
    <row r="102" spans="2:29">
      <c r="B102" s="144" t="s">
        <v>353</v>
      </c>
      <c r="C102" s="406" t="str">
        <f>IF(VALUE(MID(B102,2,3))&gt;$C$50,"",IF(VALUE(MID(B102,2,3))=$C$50,$C$48,(C101+$D$40*2+$D$34)/IF($D$43="先模切后冷压",1+设计主界面!$O$19,1)))</f>
        <v/>
      </c>
      <c r="D102" s="419"/>
      <c r="E102" s="144" t="s">
        <v>353</v>
      </c>
      <c r="F102" s="406" t="str">
        <f>IF(VALUE(MID(E102,2,3))&gt;$F$50,"",IF(VALUE(MID(E102,2,3))=$F$50,$F$48,(F101+$D$40*2+$D$35)/IF($D$42="先模切后冷压",1+设计主界面!$O$20,1)))</f>
        <v/>
      </c>
      <c r="G102" s="423"/>
      <c r="H102" s="424"/>
      <c r="I102" s="421"/>
      <c r="J102" s="144" t="s">
        <v>353</v>
      </c>
      <c r="K102" s="406" t="str">
        <f>IF(VALUE(MID(J102,2,3))&gt;$K$50,"",IF(VALUE(MID(J102,2,3))=$K$50,$K$48,(K100+$D$40+$D$34/2)/IF($D$43="先模切后冷压",1+设计主界面!$O$19,1)))</f>
        <v/>
      </c>
      <c r="L102" s="418"/>
      <c r="M102" s="144" t="s">
        <v>353</v>
      </c>
      <c r="N102" s="406" t="str">
        <f>IF(VALUE(MID(M102,2,3))&gt;$N$50,"",IF(VALUE(MID(M102,2,3))=$N$50,$N$48,(N100+$D$40+$D$35/2)/IF($D$42="先模切后冷压",1+设计主界面!$O$20,1)))</f>
        <v/>
      </c>
      <c r="O102" s="465"/>
      <c r="U102" s="139">
        <v>50</v>
      </c>
      <c r="V102" s="149" t="e">
        <f t="shared" si="8"/>
        <v>#N/A</v>
      </c>
      <c r="W102" s="149" t="e">
        <f t="shared" si="1"/>
        <v>#N/A</v>
      </c>
      <c r="X102" s="150" t="e">
        <f t="shared" si="9"/>
        <v>#N/A</v>
      </c>
      <c r="Y102" s="149" t="e">
        <f t="shared" si="3"/>
        <v>#N/A</v>
      </c>
      <c r="Z102" s="151" t="e">
        <f t="shared" si="12"/>
        <v>#N/A</v>
      </c>
      <c r="AA102" s="152" t="e">
        <f t="shared" si="13"/>
        <v>#N/A</v>
      </c>
      <c r="AB102" s="149" t="e">
        <f t="shared" si="10"/>
        <v>#N/A</v>
      </c>
      <c r="AC102" s="149" t="e">
        <f t="shared" si="11"/>
        <v>#N/A</v>
      </c>
    </row>
    <row r="103" spans="2:29">
      <c r="B103" s="354"/>
      <c r="C103" s="354"/>
      <c r="D103" s="433"/>
      <c r="E103" s="354"/>
      <c r="F103" s="369"/>
      <c r="G103" s="427"/>
      <c r="H103" s="426"/>
      <c r="I103" s="421"/>
      <c r="J103" s="144" t="s">
        <v>354</v>
      </c>
      <c r="K103" s="406" t="str">
        <f>IF(VALUE(MID(J103,2,3))&gt;$K$50,"",IF(VALUE(MID(J103,2,3))=$K$50,$K$48,(K101+$D$40+$D$34/2)/IF($D$43="先模切后冷压",1+设计主界面!$O$19,1)))</f>
        <v/>
      </c>
      <c r="L103" s="418"/>
      <c r="M103" s="144" t="s">
        <v>354</v>
      </c>
      <c r="N103" s="406" t="str">
        <f>IF(VALUE(MID(M103,2,3))&gt;$N$50,"",IF(VALUE(MID(M103,2,3))=$N$50,$N$48,(N101+$D$40+$D$35/2)/IF($D$42="先模切后冷压",1+设计主界面!$O$20,1)))</f>
        <v/>
      </c>
      <c r="O103" s="465"/>
      <c r="U103" s="139">
        <v>51</v>
      </c>
      <c r="V103" s="149" t="e">
        <f t="shared" si="8"/>
        <v>#N/A</v>
      </c>
      <c r="W103" s="149" t="e">
        <f t="shared" si="1"/>
        <v>#N/A</v>
      </c>
      <c r="X103" s="150" t="e">
        <f t="shared" si="9"/>
        <v>#N/A</v>
      </c>
      <c r="Y103" s="149" t="e">
        <f t="shared" si="3"/>
        <v>#N/A</v>
      </c>
      <c r="Z103" s="151" t="e">
        <f t="shared" si="12"/>
        <v>#N/A</v>
      </c>
      <c r="AA103" s="152" t="e">
        <f t="shared" si="13"/>
        <v>#N/A</v>
      </c>
      <c r="AB103" s="149" t="e">
        <f t="shared" si="10"/>
        <v>#N/A</v>
      </c>
      <c r="AC103" s="149" t="e">
        <f t="shared" si="11"/>
        <v>#N/A</v>
      </c>
    </row>
    <row r="104" spans="2:29" ht="15.75">
      <c r="B104" s="354"/>
      <c r="C104" s="354"/>
      <c r="D104" s="433"/>
      <c r="E104" s="354"/>
      <c r="F104" s="369"/>
      <c r="G104" s="428"/>
      <c r="H104" s="426"/>
      <c r="I104" s="421"/>
      <c r="J104" s="144" t="s">
        <v>355</v>
      </c>
      <c r="K104" s="406" t="str">
        <f>IF(VALUE(MID(J104,2,3))&gt;$K$50,"",IF(VALUE(MID(J104,2,3))=$K$50,$K$48,(K102+$D$40+$D$34/2)/IF($D$43="先模切后冷压",1+设计主界面!$O$19,1)))</f>
        <v/>
      </c>
      <c r="L104" s="418"/>
      <c r="M104" s="144" t="s">
        <v>355</v>
      </c>
      <c r="N104" s="406" t="str">
        <f>IF(VALUE(MID(M104,2,3))&gt;$N$50,"",IF(VALUE(MID(M104,2,3))=$N$50,$N$48,(N102+$D$40+$D$35/2)/IF($D$42="先模切后冷压",1+设计主界面!$O$20,1)))</f>
        <v/>
      </c>
      <c r="O104" s="465"/>
      <c r="U104" s="139">
        <v>52</v>
      </c>
      <c r="V104" s="149" t="e">
        <f t="shared" si="8"/>
        <v>#N/A</v>
      </c>
      <c r="W104" s="149" t="e">
        <f t="shared" si="1"/>
        <v>#N/A</v>
      </c>
      <c r="X104" s="150" t="e">
        <f t="shared" si="9"/>
        <v>#N/A</v>
      </c>
      <c r="Y104" s="149" t="e">
        <f t="shared" si="3"/>
        <v>#N/A</v>
      </c>
      <c r="Z104" s="151" t="e">
        <f t="shared" si="12"/>
        <v>#N/A</v>
      </c>
      <c r="AA104" s="152" t="e">
        <f t="shared" si="13"/>
        <v>#N/A</v>
      </c>
      <c r="AB104" s="149" t="e">
        <f t="shared" si="10"/>
        <v>#N/A</v>
      </c>
      <c r="AC104" s="149" t="e">
        <f t="shared" si="11"/>
        <v>#N/A</v>
      </c>
    </row>
    <row r="105" spans="2:29" ht="15.75">
      <c r="B105" s="370"/>
      <c r="C105" s="354"/>
      <c r="D105" s="433"/>
      <c r="E105" s="354"/>
      <c r="F105" s="369"/>
      <c r="G105" s="428"/>
      <c r="H105" s="426"/>
      <c r="I105" s="421"/>
      <c r="J105" s="144" t="s">
        <v>356</v>
      </c>
      <c r="K105" s="406" t="str">
        <f>IF(VALUE(MID(J105,2,3))&gt;$K$50,"",IF(VALUE(MID(J105,2,3))=$K$50,$K$48,(K103+$D$40+$D$34/2)/IF($D$43="先模切后冷压",1+设计主界面!$O$19,1)))</f>
        <v/>
      </c>
      <c r="L105" s="418"/>
      <c r="M105" s="144" t="s">
        <v>356</v>
      </c>
      <c r="N105" s="406" t="str">
        <f>IF(VALUE(MID(M105,2,3))&gt;$N$50,"",IF(VALUE(MID(M105,2,3))=$N$50,$N$48,(N103+$D$40+$D$35/2)/IF($D$42="先模切后冷压",1+设计主界面!$O$20,1)))</f>
        <v/>
      </c>
      <c r="O105" s="465"/>
      <c r="U105" s="139">
        <v>53</v>
      </c>
      <c r="V105" s="149" t="e">
        <f t="shared" si="8"/>
        <v>#N/A</v>
      </c>
      <c r="W105" s="149" t="e">
        <f t="shared" si="1"/>
        <v>#N/A</v>
      </c>
      <c r="X105" s="150" t="e">
        <f t="shared" si="9"/>
        <v>#N/A</v>
      </c>
      <c r="Y105" s="149" t="e">
        <f t="shared" si="3"/>
        <v>#N/A</v>
      </c>
      <c r="Z105" s="151" t="e">
        <f t="shared" si="12"/>
        <v>#N/A</v>
      </c>
      <c r="AA105" s="152" t="e">
        <f t="shared" si="13"/>
        <v>#N/A</v>
      </c>
      <c r="AB105" s="149" t="e">
        <f t="shared" si="10"/>
        <v>#N/A</v>
      </c>
      <c r="AC105" s="149" t="e">
        <f t="shared" si="11"/>
        <v>#N/A</v>
      </c>
    </row>
    <row r="106" spans="2:29">
      <c r="B106" s="371"/>
      <c r="C106" s="354"/>
      <c r="D106" s="433"/>
      <c r="E106" s="372"/>
      <c r="F106" s="417"/>
      <c r="G106" s="429"/>
      <c r="H106" s="426"/>
      <c r="I106" s="421"/>
      <c r="J106" s="144" t="s">
        <v>357</v>
      </c>
      <c r="K106" s="406" t="str">
        <f>IF(VALUE(MID(J106,2,3))&gt;$K$50,"",IF(VALUE(MID(J106,2,3))=$K$50,$K$48,(K104+$D$40+$D$34/2)/IF($D$43="先模切后冷压",1+设计主界面!$O$19,1)))</f>
        <v/>
      </c>
      <c r="L106" s="418"/>
      <c r="M106" s="144" t="s">
        <v>357</v>
      </c>
      <c r="N106" s="406" t="str">
        <f>IF(VALUE(MID(M106,2,3))&gt;$N$50,"",IF(VALUE(MID(M106,2,3))=$N$50,$N$48,(N104+$D$40+$D$35/2)/IF($D$42="先模切后冷压",1+设计主界面!$O$20,1)))</f>
        <v/>
      </c>
      <c r="O106" s="465"/>
      <c r="U106" s="139">
        <v>54</v>
      </c>
      <c r="V106" s="149" t="e">
        <f t="shared" si="8"/>
        <v>#N/A</v>
      </c>
      <c r="W106" s="149" t="e">
        <f t="shared" si="1"/>
        <v>#N/A</v>
      </c>
      <c r="X106" s="150" t="e">
        <f t="shared" si="9"/>
        <v>#N/A</v>
      </c>
      <c r="Y106" s="149" t="e">
        <f t="shared" si="3"/>
        <v>#N/A</v>
      </c>
      <c r="Z106" s="151" t="e">
        <f t="shared" si="12"/>
        <v>#N/A</v>
      </c>
      <c r="AA106" s="152" t="e">
        <f t="shared" si="13"/>
        <v>#N/A</v>
      </c>
      <c r="AB106" s="149" t="e">
        <f t="shared" si="10"/>
        <v>#N/A</v>
      </c>
      <c r="AC106" s="149" t="e">
        <f t="shared" si="11"/>
        <v>#N/A</v>
      </c>
    </row>
    <row r="107" spans="2:29">
      <c r="B107" s="373"/>
      <c r="C107" s="374"/>
      <c r="D107" s="434"/>
      <c r="E107" s="354"/>
      <c r="F107" s="375"/>
      <c r="G107" s="429"/>
      <c r="H107" s="422"/>
      <c r="I107" s="421"/>
      <c r="J107" s="144" t="s">
        <v>358</v>
      </c>
      <c r="K107" s="406" t="str">
        <f>IF(VALUE(MID(J107,2,3))&gt;$K$50,"",IF(VALUE(MID(J107,2,3))=$K$50,$K$48,(K105+$D$40+$D$34/2)/IF($D$43="先模切后冷压",1+设计主界面!$O$19,1)))</f>
        <v/>
      </c>
      <c r="L107" s="418"/>
      <c r="M107" s="144" t="s">
        <v>358</v>
      </c>
      <c r="N107" s="406" t="str">
        <f>IF(VALUE(MID(M107,2,3))&gt;$N$50,"",IF(VALUE(MID(M107,2,3))=$N$50,$N$48,(N105+$D$40+$D$35/2)/IF($D$42="先模切后冷压",1+设计主界面!$O$20,1)))</f>
        <v/>
      </c>
      <c r="O107" s="465"/>
      <c r="U107" s="139">
        <v>55</v>
      </c>
      <c r="V107" s="149" t="e">
        <f t="shared" si="8"/>
        <v>#N/A</v>
      </c>
      <c r="W107" s="149" t="e">
        <f t="shared" si="1"/>
        <v>#N/A</v>
      </c>
      <c r="X107" s="150" t="e">
        <f t="shared" si="9"/>
        <v>#N/A</v>
      </c>
      <c r="Y107" s="149" t="e">
        <f t="shared" si="3"/>
        <v>#N/A</v>
      </c>
      <c r="Z107" s="151" t="e">
        <f t="shared" si="12"/>
        <v>#N/A</v>
      </c>
      <c r="AA107" s="152" t="e">
        <f t="shared" si="13"/>
        <v>#N/A</v>
      </c>
      <c r="AB107" s="149" t="e">
        <f t="shared" si="10"/>
        <v>#N/A</v>
      </c>
      <c r="AC107" s="149" t="e">
        <f t="shared" si="11"/>
        <v>#N/A</v>
      </c>
    </row>
    <row r="108" spans="2:29">
      <c r="B108" s="370"/>
      <c r="C108" s="354"/>
      <c r="D108" s="433"/>
      <c r="E108" s="354"/>
      <c r="F108" s="369"/>
      <c r="G108" s="429"/>
      <c r="H108" s="424"/>
      <c r="I108" s="421"/>
      <c r="J108" s="144" t="s">
        <v>359</v>
      </c>
      <c r="K108" s="406" t="str">
        <f>IF(VALUE(MID(J108,2,3))&gt;$K$50,"",IF(VALUE(MID(J108,2,3))=$K$50,$K$48,(K106+$D$40+$D$34/2)/IF($D$43="先模切后冷压",1+设计主界面!$O$19,1)))</f>
        <v/>
      </c>
      <c r="L108" s="418"/>
      <c r="M108" s="144" t="s">
        <v>359</v>
      </c>
      <c r="N108" s="406" t="str">
        <f>IF(VALUE(MID(M108,2,3))&gt;$N$50,"",IF(VALUE(MID(M108,2,3))=$N$50,$N$48,(N106+$D$40+$D$35/2)/IF($D$42="先模切后冷压",1+设计主界面!$O$20,1)))</f>
        <v/>
      </c>
      <c r="O108" s="465"/>
      <c r="U108" s="139">
        <v>56</v>
      </c>
      <c r="V108" s="149" t="e">
        <f t="shared" si="8"/>
        <v>#N/A</v>
      </c>
      <c r="W108" s="149" t="e">
        <f t="shared" si="1"/>
        <v>#N/A</v>
      </c>
      <c r="X108" s="150" t="e">
        <f t="shared" si="9"/>
        <v>#N/A</v>
      </c>
      <c r="Y108" s="149" t="e">
        <f t="shared" si="3"/>
        <v>#N/A</v>
      </c>
      <c r="Z108" s="151" t="e">
        <f t="shared" si="12"/>
        <v>#N/A</v>
      </c>
      <c r="AA108" s="152" t="e">
        <f t="shared" si="13"/>
        <v>#N/A</v>
      </c>
      <c r="AB108" s="149" t="e">
        <f t="shared" si="10"/>
        <v>#N/A</v>
      </c>
      <c r="AC108" s="149" t="e">
        <f t="shared" si="11"/>
        <v>#N/A</v>
      </c>
    </row>
    <row r="109" spans="2:29">
      <c r="B109" s="371"/>
      <c r="C109" s="354"/>
      <c r="D109" s="433"/>
      <c r="E109" s="376"/>
      <c r="F109" s="417"/>
      <c r="G109" s="429"/>
      <c r="H109" s="425"/>
      <c r="I109" s="421"/>
      <c r="J109" s="144" t="s">
        <v>360</v>
      </c>
      <c r="K109" s="406" t="str">
        <f>IF(VALUE(MID(J109,2,3))&gt;$K$50,"",IF(VALUE(MID(J109,2,3))=$K$50,$K$48,(K107+$D$40+$D$34/2)/IF($D$43="先模切后冷压",1+设计主界面!$O$19,1)))</f>
        <v/>
      </c>
      <c r="L109" s="418"/>
      <c r="M109" s="144" t="s">
        <v>360</v>
      </c>
      <c r="N109" s="406" t="str">
        <f>IF(VALUE(MID(M109,2,3))&gt;$N$50,"",IF(VALUE(MID(M109,2,3))=$N$50,$N$48,(N107+$D$40+$D$35/2)/IF($D$42="先模切后冷压",1+设计主界面!$O$20,1)))</f>
        <v/>
      </c>
      <c r="O109" s="465"/>
      <c r="U109" s="139">
        <v>57</v>
      </c>
      <c r="V109" s="149" t="e">
        <f t="shared" si="8"/>
        <v>#N/A</v>
      </c>
      <c r="W109" s="149" t="e">
        <f t="shared" si="1"/>
        <v>#N/A</v>
      </c>
      <c r="X109" s="150" t="e">
        <f t="shared" si="9"/>
        <v>#N/A</v>
      </c>
      <c r="Y109" s="149" t="e">
        <f t="shared" si="3"/>
        <v>#N/A</v>
      </c>
      <c r="Z109" s="151" t="e">
        <f t="shared" si="12"/>
        <v>#N/A</v>
      </c>
      <c r="AA109" s="152" t="e">
        <f t="shared" si="13"/>
        <v>#N/A</v>
      </c>
      <c r="AB109" s="149" t="e">
        <f t="shared" si="10"/>
        <v>#N/A</v>
      </c>
      <c r="AC109" s="149" t="e">
        <f t="shared" si="11"/>
        <v>#N/A</v>
      </c>
    </row>
    <row r="110" spans="2:29">
      <c r="B110" s="370"/>
      <c r="C110" s="374"/>
      <c r="D110" s="434"/>
      <c r="E110" s="374"/>
      <c r="F110" s="369"/>
      <c r="G110" s="430"/>
      <c r="H110" s="427"/>
      <c r="I110" s="421"/>
      <c r="J110" s="144" t="s">
        <v>361</v>
      </c>
      <c r="K110" s="406" t="str">
        <f>IF(VALUE(MID(J110,2,3))&gt;$K$50,"",IF(VALUE(MID(J110,2,3))=$K$50,$K$48,(K108+$D$40+$D$34/2)/IF($D$43="先模切后冷压",1+设计主界面!$O$19,1)))</f>
        <v/>
      </c>
      <c r="L110" s="418"/>
      <c r="M110" s="144" t="s">
        <v>361</v>
      </c>
      <c r="N110" s="406" t="str">
        <f>IF(VALUE(MID(M110,2,3))&gt;$N$50,"",IF(VALUE(MID(M110,2,3))=$N$50,$N$48,(N108+$D$40+$D$35/2)/IF($D$42="先模切后冷压",1+设计主界面!$O$20,1)))</f>
        <v/>
      </c>
      <c r="O110" s="465"/>
      <c r="U110" s="139">
        <v>58</v>
      </c>
      <c r="V110" s="149" t="e">
        <f t="shared" si="8"/>
        <v>#N/A</v>
      </c>
      <c r="W110" s="149" t="e">
        <f t="shared" si="1"/>
        <v>#N/A</v>
      </c>
      <c r="X110" s="150" t="e">
        <f t="shared" si="9"/>
        <v>#N/A</v>
      </c>
      <c r="Y110" s="149" t="e">
        <f t="shared" si="3"/>
        <v>#N/A</v>
      </c>
      <c r="Z110" s="151" t="e">
        <f t="shared" si="12"/>
        <v>#N/A</v>
      </c>
      <c r="AA110" s="152" t="e">
        <f t="shared" si="13"/>
        <v>#N/A</v>
      </c>
      <c r="AB110" s="150" t="e">
        <f t="shared" si="10"/>
        <v>#N/A</v>
      </c>
      <c r="AC110" s="150" t="e">
        <f t="shared" si="11"/>
        <v>#N/A</v>
      </c>
    </row>
    <row r="111" spans="2:29" ht="15.75">
      <c r="B111" s="354"/>
      <c r="C111" s="354"/>
      <c r="D111" s="433"/>
      <c r="E111" s="354"/>
      <c r="F111" s="369"/>
      <c r="G111" s="431"/>
      <c r="H111" s="428"/>
      <c r="I111" s="421"/>
      <c r="J111" s="144" t="s">
        <v>362</v>
      </c>
      <c r="K111" s="406" t="str">
        <f>IF(VALUE(MID(J111,2,3))&gt;$K$50,"",IF(VALUE(MID(J111,2,3))=$K$50,$K$48,(K109+$D$40+$D$34/2)/IF($D$43="先模切后冷压",1+设计主界面!$O$19,1)))</f>
        <v/>
      </c>
      <c r="L111" s="418"/>
      <c r="M111" s="144" t="s">
        <v>362</v>
      </c>
      <c r="N111" s="406" t="str">
        <f>IF(VALUE(MID(M111,2,3))&gt;$N$50,"",IF(VALUE(MID(M111,2,3))=$N$50,$N$48,(N109+$D$40+$D$35/2)/IF($D$42="先模切后冷压",1+设计主界面!$O$20,1)))</f>
        <v/>
      </c>
      <c r="O111" s="465"/>
      <c r="U111" s="139">
        <v>59</v>
      </c>
      <c r="V111" s="149" t="e">
        <f t="shared" si="8"/>
        <v>#N/A</v>
      </c>
      <c r="W111" s="149" t="e">
        <f t="shared" si="1"/>
        <v>#N/A</v>
      </c>
      <c r="X111" s="150" t="e">
        <f t="shared" si="9"/>
        <v>#N/A</v>
      </c>
      <c r="Y111" s="149" t="e">
        <f t="shared" si="3"/>
        <v>#N/A</v>
      </c>
      <c r="Z111" s="151" t="e">
        <f t="shared" si="12"/>
        <v>#N/A</v>
      </c>
      <c r="AA111" s="152" t="e">
        <f t="shared" si="13"/>
        <v>#N/A</v>
      </c>
      <c r="AB111" s="150" t="e">
        <f t="shared" si="10"/>
        <v>#N/A</v>
      </c>
      <c r="AC111" s="150" t="e">
        <f t="shared" si="11"/>
        <v>#N/A</v>
      </c>
    </row>
    <row r="112" spans="2:29" ht="15.75">
      <c r="B112" s="374"/>
      <c r="C112" s="142"/>
      <c r="D112" s="435"/>
      <c r="E112" s="360"/>
      <c r="F112" s="143"/>
      <c r="G112" s="429"/>
      <c r="H112" s="428"/>
      <c r="I112" s="421"/>
      <c r="J112" s="144" t="s">
        <v>363</v>
      </c>
      <c r="K112" s="406" t="str">
        <f>IF(VALUE(MID(J112,2,3))&gt;$K$50,"",IF(VALUE(MID(J112,2,3))=$K$50,$K$48,(K110+$D$40+$D$34/2)/IF($D$43="先模切后冷压",1+设计主界面!$O$19,1)))</f>
        <v/>
      </c>
      <c r="L112" s="418"/>
      <c r="M112" s="144" t="s">
        <v>363</v>
      </c>
      <c r="N112" s="406" t="str">
        <f>IF(VALUE(MID(M112,2,3))&gt;$N$50,"",IF(VALUE(MID(M112,2,3))=$N$50,$N$48,(N110+$D$40+$D$35/2)/IF($D$42="先模切后冷压",1+设计主界面!$O$20,1)))</f>
        <v/>
      </c>
      <c r="O112" s="465"/>
      <c r="U112" s="139">
        <v>60</v>
      </c>
      <c r="V112" s="149" t="e">
        <f t="shared" si="8"/>
        <v>#N/A</v>
      </c>
      <c r="W112" s="149" t="e">
        <f t="shared" si="1"/>
        <v>#N/A</v>
      </c>
      <c r="X112" s="150" t="e">
        <f t="shared" si="9"/>
        <v>#N/A</v>
      </c>
      <c r="Y112" s="149" t="e">
        <f t="shared" si="3"/>
        <v>#N/A</v>
      </c>
      <c r="Z112" s="151" t="e">
        <f t="shared" si="12"/>
        <v>#N/A</v>
      </c>
      <c r="AA112" s="152" t="e">
        <f t="shared" si="13"/>
        <v>#N/A</v>
      </c>
      <c r="AB112" s="150" t="e">
        <f t="shared" si="10"/>
        <v>#N/A</v>
      </c>
      <c r="AC112" s="150" t="e">
        <f t="shared" si="11"/>
        <v>#N/A</v>
      </c>
    </row>
    <row r="113" spans="2:29" ht="15.75">
      <c r="B113" s="142"/>
      <c r="C113" s="142"/>
      <c r="D113" s="435"/>
      <c r="E113" s="142"/>
      <c r="F113" s="143"/>
      <c r="G113" s="430"/>
      <c r="H113" s="429"/>
      <c r="I113" s="421"/>
      <c r="J113" s="144" t="s">
        <v>386</v>
      </c>
      <c r="K113" s="406" t="str">
        <f>IF(VALUE(MID(J113,2,3))&gt;$K$50,"",IF(VALUE(MID(J113,2,3))=$K$50,$K$48,(K111+$D$40+$D$34/2)/IF($D$43="先模切后冷压",1+设计主界面!$O$19,1)))</f>
        <v/>
      </c>
      <c r="L113" s="418"/>
      <c r="M113" s="144" t="s">
        <v>386</v>
      </c>
      <c r="N113" s="406" t="str">
        <f>IF(VALUE(MID(M113,2,3))&gt;$N$50,"",IF(VALUE(MID(M113,2,3))=$N$50,$N$48,(N111+$D$40+$D$35/2)/IF($D$42="先模切后冷压",1+设计主界面!$O$20,1)))</f>
        <v/>
      </c>
      <c r="O113" s="465"/>
      <c r="U113" s="139">
        <v>61</v>
      </c>
      <c r="V113" s="149" t="e">
        <f t="shared" si="8"/>
        <v>#N/A</v>
      </c>
      <c r="W113" s="149" t="e">
        <f t="shared" si="1"/>
        <v>#N/A</v>
      </c>
      <c r="X113" s="150" t="e">
        <f t="shared" si="9"/>
        <v>#N/A</v>
      </c>
      <c r="Y113" s="149" t="e">
        <f t="shared" si="3"/>
        <v>#N/A</v>
      </c>
      <c r="Z113" s="151" t="e">
        <f t="shared" si="12"/>
        <v>#N/A</v>
      </c>
      <c r="AA113" s="152" t="e">
        <f t="shared" si="13"/>
        <v>#N/A</v>
      </c>
      <c r="AB113" s="150" t="e">
        <f t="shared" si="10"/>
        <v>#N/A</v>
      </c>
      <c r="AC113" s="150" t="e">
        <f t="shared" si="11"/>
        <v>#N/A</v>
      </c>
    </row>
    <row r="114" spans="2:29" ht="15.75">
      <c r="B114" s="141"/>
      <c r="C114" s="361"/>
      <c r="D114" s="436"/>
      <c r="E114" s="142"/>
      <c r="F114" s="143"/>
      <c r="G114" s="429"/>
      <c r="H114" s="429"/>
      <c r="I114" s="421"/>
      <c r="J114" s="144" t="s">
        <v>387</v>
      </c>
      <c r="K114" s="406" t="str">
        <f>IF(VALUE(MID(J114,2,3))&gt;$K$50,"",IF(VALUE(MID(J114,2,3))=$K$50,$K$48,(K112+$D$40+$D$34/2)/IF($D$43="先模切后冷压",1+设计主界面!$O$19,1)))</f>
        <v/>
      </c>
      <c r="L114" s="418"/>
      <c r="M114" s="144" t="s">
        <v>387</v>
      </c>
      <c r="N114" s="406" t="str">
        <f>IF(VALUE(MID(M114,2,3))&gt;$N$50,"",IF(VALUE(MID(M114,2,3))=$N$50,$N$48,(N112+$D$40+$D$35/2)/IF($D$42="先模切后冷压",1+设计主界面!$O$20,1)))</f>
        <v/>
      </c>
      <c r="O114" s="465"/>
      <c r="U114" s="139">
        <v>62</v>
      </c>
      <c r="V114" s="149" t="e">
        <f t="shared" si="8"/>
        <v>#N/A</v>
      </c>
      <c r="W114" s="149" t="e">
        <f t="shared" si="1"/>
        <v>#N/A</v>
      </c>
      <c r="X114" s="150" t="e">
        <f t="shared" si="9"/>
        <v>#N/A</v>
      </c>
      <c r="Y114" s="149" t="e">
        <f t="shared" si="3"/>
        <v>#N/A</v>
      </c>
      <c r="Z114" s="151" t="e">
        <f t="shared" si="12"/>
        <v>#N/A</v>
      </c>
      <c r="AA114" s="152" t="e">
        <f t="shared" si="13"/>
        <v>#N/A</v>
      </c>
      <c r="AB114" s="149" t="e">
        <f t="shared" si="10"/>
        <v>#N/A</v>
      </c>
      <c r="AC114" s="149" t="e">
        <f t="shared" si="11"/>
        <v>#N/A</v>
      </c>
    </row>
    <row r="115" spans="2:29">
      <c r="D115" s="13"/>
      <c r="G115" s="429"/>
      <c r="H115" s="429"/>
      <c r="I115" s="421"/>
      <c r="J115" s="144" t="s">
        <v>388</v>
      </c>
      <c r="K115" s="406" t="str">
        <f>IF(VALUE(MID(J115,2,3))&gt;$K$50,"",IF(VALUE(MID(J115,2,3))=$K$50,$K$48,(K113+$D$40+$D$34/2)/IF($D$43="先模切后冷压",1+设计主界面!$O$19,1)))</f>
        <v/>
      </c>
      <c r="L115" s="418"/>
      <c r="M115" s="144" t="s">
        <v>388</v>
      </c>
      <c r="N115" s="406" t="str">
        <f>IF(VALUE(MID(M115,2,3))&gt;$N$50,"",IF(VALUE(MID(M115,2,3))=$N$50,$N$48,(N113+$D$40+$D$35/2)/IF($D$42="先模切后冷压",1+设计主界面!$O$20,1)))</f>
        <v/>
      </c>
      <c r="O115" s="465"/>
      <c r="U115" s="139">
        <v>63</v>
      </c>
      <c r="V115" s="149" t="e">
        <f t="shared" si="8"/>
        <v>#N/A</v>
      </c>
      <c r="W115" s="149" t="e">
        <f t="shared" si="1"/>
        <v>#N/A</v>
      </c>
      <c r="X115" s="150" t="e">
        <f t="shared" si="9"/>
        <v>#N/A</v>
      </c>
      <c r="Y115" s="149" t="e">
        <f t="shared" si="3"/>
        <v>#N/A</v>
      </c>
      <c r="Z115" s="151" t="e">
        <f t="shared" si="12"/>
        <v>#N/A</v>
      </c>
      <c r="AA115" s="152" t="e">
        <f t="shared" si="13"/>
        <v>#N/A</v>
      </c>
      <c r="AB115" s="149" t="e">
        <f t="shared" si="10"/>
        <v>#N/A</v>
      </c>
      <c r="AC115" s="149" t="e">
        <f t="shared" si="11"/>
        <v>#N/A</v>
      </c>
    </row>
    <row r="116" spans="2:29" ht="15.75">
      <c r="D116" s="13"/>
      <c r="G116" s="428"/>
      <c r="H116" s="429"/>
      <c r="I116" s="421"/>
      <c r="J116" s="144" t="s">
        <v>389</v>
      </c>
      <c r="K116" s="406" t="str">
        <f>IF(VALUE(MID(J116,2,3))&gt;$K$50,"",IF(VALUE(MID(J116,2,3))=$K$50,$K$48,(K114+$D$40+$D$34/2)/IF($D$43="先模切后冷压",1+设计主界面!$O$19,1)))</f>
        <v/>
      </c>
      <c r="L116" s="418"/>
      <c r="M116" s="144" t="s">
        <v>389</v>
      </c>
      <c r="N116" s="406" t="str">
        <f>IF(VALUE(MID(M116,2,3))&gt;$N$50,"",IF(VALUE(MID(M116,2,3))=$N$50,$N$48,(N114+$D$40+$D$35/2)/IF($D$42="先模切后冷压",1+设计主界面!$O$20,1)))</f>
        <v/>
      </c>
      <c r="O116" s="465"/>
      <c r="U116" s="139">
        <v>64</v>
      </c>
      <c r="V116" s="149" t="e">
        <f t="shared" si="8"/>
        <v>#N/A</v>
      </c>
      <c r="W116" s="149" t="e">
        <f t="shared" si="1"/>
        <v>#N/A</v>
      </c>
      <c r="X116" s="150" t="e">
        <f t="shared" si="9"/>
        <v>#N/A</v>
      </c>
      <c r="Y116" s="149" t="e">
        <f t="shared" si="3"/>
        <v>#N/A</v>
      </c>
      <c r="Z116" s="151" t="e">
        <f t="shared" si="12"/>
        <v>#N/A</v>
      </c>
      <c r="AA116" s="152" t="e">
        <f t="shared" si="13"/>
        <v>#N/A</v>
      </c>
      <c r="AB116" s="149" t="e">
        <f t="shared" si="10"/>
        <v>#N/A</v>
      </c>
      <c r="AC116" s="149" t="e">
        <f t="shared" si="11"/>
        <v>#N/A</v>
      </c>
    </row>
    <row r="117" spans="2:29" ht="15.75">
      <c r="D117" s="13"/>
      <c r="G117" s="428"/>
      <c r="H117" s="430"/>
      <c r="I117" s="421"/>
      <c r="J117" s="144" t="s">
        <v>390</v>
      </c>
      <c r="K117" s="406" t="str">
        <f>IF(VALUE(MID(J117,2,3))&gt;$K$50,"",IF(VALUE(MID(J117,2,3))=$K$50,$K$48,(K115+$D$40+$D$34/2)/IF($D$43="先模切后冷压",1+设计主界面!$O$19,1)))</f>
        <v/>
      </c>
      <c r="L117" s="418"/>
      <c r="M117" s="144" t="s">
        <v>390</v>
      </c>
      <c r="N117" s="406" t="str">
        <f>IF(VALUE(MID(M117,2,3))&gt;$N$50,"",IF(VALUE(MID(M117,2,3))=$N$50,$N$48,(N115+$D$40+$D$35/2)/IF($D$42="先模切后冷压",1+设计主界面!$O$20,1)))</f>
        <v/>
      </c>
      <c r="O117" s="465"/>
      <c r="U117" s="139">
        <v>65</v>
      </c>
      <c r="V117" s="149" t="e">
        <f t="shared" si="8"/>
        <v>#N/A</v>
      </c>
      <c r="W117" s="149" t="e">
        <f t="shared" si="1"/>
        <v>#N/A</v>
      </c>
      <c r="X117" s="150" t="e">
        <f t="shared" si="9"/>
        <v>#N/A</v>
      </c>
      <c r="Y117" s="149" t="e">
        <f t="shared" si="3"/>
        <v>#N/A</v>
      </c>
      <c r="Z117" s="151" t="e">
        <f t="shared" si="12"/>
        <v>#N/A</v>
      </c>
      <c r="AA117" s="152" t="e">
        <f t="shared" si="13"/>
        <v>#N/A</v>
      </c>
      <c r="AB117" s="149" t="e">
        <f t="shared" si="10"/>
        <v>#N/A</v>
      </c>
      <c r="AC117" s="149" t="e">
        <f t="shared" si="11"/>
        <v>#N/A</v>
      </c>
    </row>
    <row r="118" spans="2:29" ht="15.75">
      <c r="D118" s="13"/>
      <c r="G118" s="428"/>
      <c r="H118" s="431"/>
      <c r="I118" s="421"/>
      <c r="J118" s="144" t="s">
        <v>391</v>
      </c>
      <c r="K118" s="406" t="str">
        <f>IF(VALUE(MID(J118,2,3))&gt;$K$50,"",IF(VALUE(MID(J118,2,3))=$K$50,$K$48,(K116+$D$40+$D$34/2)/IF($D$43="先模切后冷压",1+设计主界面!$O$19,1)))</f>
        <v/>
      </c>
      <c r="L118" s="418"/>
      <c r="M118" s="144" t="s">
        <v>391</v>
      </c>
      <c r="N118" s="406" t="str">
        <f>IF(VALUE(MID(M118,2,3))&gt;$N$50,"",IF(VALUE(MID(M118,2,3))=$N$50,$N$48,(N116+$D$40+$D$35/2)/IF($D$42="先模切后冷压",1+设计主界面!$O$20,1)))</f>
        <v/>
      </c>
      <c r="O118" s="465"/>
      <c r="U118" s="139">
        <v>66</v>
      </c>
      <c r="V118" s="149" t="e">
        <f t="shared" ref="V118:V149" si="14">$I$32/2+INT((U117-1)/2)*$D$40/2+INT((U118-1)/2)*$D$40/2</f>
        <v>#N/A</v>
      </c>
      <c r="W118" s="149" t="e">
        <f t="shared" ref="W118:W149" si="15">V118+W117</f>
        <v>#N/A</v>
      </c>
      <c r="X118" s="150" t="e">
        <f t="shared" ref="X118:X152" si="16">$I$32/2+INT((U117-1)/2)*$D$40/2+$D$41/2+INT((U118-1)/2)*$D$40/2+$D$41/2</f>
        <v>#N/A</v>
      </c>
      <c r="Y118" s="149" t="e">
        <f t="shared" ref="Y118:Y149" si="17">X118+Y117</f>
        <v>#N/A</v>
      </c>
      <c r="Z118" s="151" t="e">
        <f t="shared" si="12"/>
        <v>#N/A</v>
      </c>
      <c r="AA118" s="152" t="e">
        <f t="shared" si="13"/>
        <v>#N/A</v>
      </c>
      <c r="AB118" s="149" t="e">
        <f t="shared" ref="AB118:AB152" si="18">AB117+Z118</f>
        <v>#N/A</v>
      </c>
      <c r="AC118" s="149" t="e">
        <f t="shared" ref="AC118:AC152" si="19">AC117+AA118</f>
        <v>#N/A</v>
      </c>
    </row>
    <row r="119" spans="2:29">
      <c r="D119" s="13"/>
      <c r="G119" s="13"/>
      <c r="H119" s="429"/>
      <c r="I119" s="421"/>
      <c r="J119" s="144" t="s">
        <v>392</v>
      </c>
      <c r="K119" s="406" t="str">
        <f>IF(VALUE(MID(J119,2,3))&gt;$K$50,"",IF(VALUE(MID(J119,2,3))=$K$50,$K$48,(K117+$D$40+$D$34/2)/IF($D$43="先模切后冷压",1+设计主界面!$O$19,1)))</f>
        <v/>
      </c>
      <c r="L119" s="418"/>
      <c r="M119" s="144" t="s">
        <v>392</v>
      </c>
      <c r="N119" s="406" t="str">
        <f>IF(VALUE(MID(M119,2,3))&gt;$N$50,"",IF(VALUE(MID(M119,2,3))=$N$50,$N$48,(N117+$D$40+$D$35/2)/IF($D$42="先模切后冷压",1+设计主界面!$O$20,1)))</f>
        <v/>
      </c>
      <c r="O119" s="465"/>
      <c r="U119" s="139">
        <v>67</v>
      </c>
      <c r="V119" s="149" t="e">
        <f t="shared" si="14"/>
        <v>#N/A</v>
      </c>
      <c r="W119" s="149" t="e">
        <f t="shared" si="15"/>
        <v>#N/A</v>
      </c>
      <c r="X119" s="150" t="e">
        <f t="shared" si="16"/>
        <v>#N/A</v>
      </c>
      <c r="Y119" s="149" t="e">
        <f t="shared" si="17"/>
        <v>#N/A</v>
      </c>
      <c r="Z119" s="151" t="e">
        <f t="shared" ref="Z119:Z149" si="20">V119+INT((U119-1)/2)*$D$34/2</f>
        <v>#N/A</v>
      </c>
      <c r="AA119" s="152" t="e">
        <f t="shared" ref="AA119:AA149" si="21">X119+INT((U119-1)/2)/2*$D$35</f>
        <v>#N/A</v>
      </c>
      <c r="AB119" s="149" t="e">
        <f t="shared" si="18"/>
        <v>#N/A</v>
      </c>
      <c r="AC119" s="149" t="e">
        <f t="shared" si="19"/>
        <v>#N/A</v>
      </c>
    </row>
    <row r="120" spans="2:29">
      <c r="D120" s="13"/>
      <c r="G120" s="13"/>
      <c r="H120" s="430"/>
      <c r="I120" s="421"/>
      <c r="J120" s="144" t="s">
        <v>393</v>
      </c>
      <c r="K120" s="406" t="str">
        <f>IF(VALUE(MID(J120,2,3))&gt;$K$50,"",IF(VALUE(MID(J120,2,3))=$K$50,$K$48,(K118+$D$40+$D$34/2)/IF($D$43="先模切后冷压",1+设计主界面!$O$19,1)))</f>
        <v/>
      </c>
      <c r="L120" s="418"/>
      <c r="M120" s="144" t="s">
        <v>393</v>
      </c>
      <c r="N120" s="406" t="str">
        <f>IF(VALUE(MID(M120,2,3))&gt;$N$50,"",IF(VALUE(MID(M120,2,3))=$N$50,$N$48,(N118+$D$40+$D$35/2)/IF($D$42="先模切后冷压",1+设计主界面!$O$20,1)))</f>
        <v/>
      </c>
      <c r="O120" s="465"/>
      <c r="U120" s="139">
        <v>68</v>
      </c>
      <c r="V120" s="149" t="e">
        <f t="shared" si="14"/>
        <v>#N/A</v>
      </c>
      <c r="W120" s="149" t="e">
        <f t="shared" si="15"/>
        <v>#N/A</v>
      </c>
      <c r="X120" s="150" t="e">
        <f t="shared" si="16"/>
        <v>#N/A</v>
      </c>
      <c r="Y120" s="149" t="e">
        <f t="shared" si="17"/>
        <v>#N/A</v>
      </c>
      <c r="Z120" s="151" t="e">
        <f t="shared" si="20"/>
        <v>#N/A</v>
      </c>
      <c r="AA120" s="152" t="e">
        <f t="shared" si="21"/>
        <v>#N/A</v>
      </c>
      <c r="AB120" s="149" t="e">
        <f t="shared" si="18"/>
        <v>#N/A</v>
      </c>
      <c r="AC120" s="149" t="e">
        <f t="shared" si="19"/>
        <v>#N/A</v>
      </c>
    </row>
    <row r="121" spans="2:29">
      <c r="D121" s="13"/>
      <c r="G121" s="13"/>
      <c r="H121" s="429"/>
      <c r="I121" s="421"/>
      <c r="J121" s="144" t="s">
        <v>394</v>
      </c>
      <c r="K121" s="406" t="str">
        <f>IF(VALUE(MID(J121,2,3))&gt;$K$50,"",IF(VALUE(MID(J121,2,3))=$K$50,$K$48,(K119+$D$40+$D$34/2)/IF($D$43="先模切后冷压",1+设计主界面!$O$19,1)))</f>
        <v/>
      </c>
      <c r="L121" s="418"/>
      <c r="M121" s="144" t="s">
        <v>394</v>
      </c>
      <c r="N121" s="406" t="str">
        <f>IF(VALUE(MID(M121,2,3))&gt;$N$50,"",IF(VALUE(MID(M121,2,3))=$N$50,$N$48,(N119+$D$40+$D$35/2)/IF($D$42="先模切后冷压",1+设计主界面!$O$20,1)))</f>
        <v/>
      </c>
      <c r="O121" s="465"/>
      <c r="U121" s="139">
        <v>69</v>
      </c>
      <c r="V121" s="149" t="e">
        <f t="shared" si="14"/>
        <v>#N/A</v>
      </c>
      <c r="W121" s="149" t="e">
        <f t="shared" si="15"/>
        <v>#N/A</v>
      </c>
      <c r="X121" s="150" t="e">
        <f t="shared" si="16"/>
        <v>#N/A</v>
      </c>
      <c r="Y121" s="149" t="e">
        <f t="shared" si="17"/>
        <v>#N/A</v>
      </c>
      <c r="Z121" s="151" t="e">
        <f t="shared" si="20"/>
        <v>#N/A</v>
      </c>
      <c r="AA121" s="152" t="e">
        <f t="shared" si="21"/>
        <v>#N/A</v>
      </c>
      <c r="AB121" s="149" t="e">
        <f t="shared" si="18"/>
        <v>#N/A</v>
      </c>
      <c r="AC121" s="149" t="e">
        <f t="shared" si="19"/>
        <v>#N/A</v>
      </c>
    </row>
    <row r="122" spans="2:29">
      <c r="D122" s="13"/>
      <c r="G122" s="13"/>
      <c r="H122" s="429"/>
      <c r="I122" s="421"/>
      <c r="J122" s="144" t="s">
        <v>395</v>
      </c>
      <c r="K122" s="406" t="str">
        <f>IF(VALUE(MID(J122,2,3))&gt;$K$50,"",IF(VALUE(MID(J122,2,3))=$K$50,$K$48,(K120+$D$40+$D$34/2)/IF($D$43="先模切后冷压",1+设计主界面!$O$19,1)))</f>
        <v/>
      </c>
      <c r="L122" s="418"/>
      <c r="M122" s="144" t="s">
        <v>395</v>
      </c>
      <c r="N122" s="406" t="str">
        <f>IF(VALUE(MID(M122,2,3))&gt;$N$50,"",IF(VALUE(MID(M122,2,3))=$N$50,$N$48,(N120+$D$40+$D$35/2)/IF($D$42="先模切后冷压",1+设计主界面!$O$20,1)))</f>
        <v/>
      </c>
      <c r="O122" s="465"/>
      <c r="U122" s="139">
        <v>70</v>
      </c>
      <c r="V122" s="149" t="e">
        <f t="shared" si="14"/>
        <v>#N/A</v>
      </c>
      <c r="W122" s="149" t="e">
        <f t="shared" si="15"/>
        <v>#N/A</v>
      </c>
      <c r="X122" s="150" t="e">
        <f t="shared" si="16"/>
        <v>#N/A</v>
      </c>
      <c r="Y122" s="149" t="e">
        <f t="shared" si="17"/>
        <v>#N/A</v>
      </c>
      <c r="Z122" s="151" t="e">
        <f t="shared" si="20"/>
        <v>#N/A</v>
      </c>
      <c r="AA122" s="152" t="e">
        <f t="shared" si="21"/>
        <v>#N/A</v>
      </c>
      <c r="AB122" s="149" t="e">
        <f t="shared" si="18"/>
        <v>#N/A</v>
      </c>
      <c r="AC122" s="149" t="e">
        <f t="shared" si="19"/>
        <v>#N/A</v>
      </c>
    </row>
    <row r="123" spans="2:29" ht="15.75">
      <c r="D123" s="13"/>
      <c r="G123" s="13"/>
      <c r="H123" s="428"/>
      <c r="I123" s="421"/>
      <c r="J123" s="144" t="s">
        <v>396</v>
      </c>
      <c r="K123" s="406" t="str">
        <f>IF(VALUE(MID(J123,2,3))&gt;$K$50,"",IF(VALUE(MID(J123,2,3))=$K$50,$K$48,(K121+$D$40+$D$34/2)/IF($D$43="先模切后冷压",1+设计主界面!$O$19,1)))</f>
        <v/>
      </c>
      <c r="L123" s="418"/>
      <c r="M123" s="144" t="s">
        <v>396</v>
      </c>
      <c r="N123" s="406" t="str">
        <f>IF(VALUE(MID(M123,2,3))&gt;$N$50,"",IF(VALUE(MID(M123,2,3))=$N$50,$N$48,(N121+$D$40+$D$35/2)/IF($D$42="先模切后冷压",1+设计主界面!$O$20,1)))</f>
        <v/>
      </c>
      <c r="O123" s="465"/>
      <c r="U123" s="139">
        <v>71</v>
      </c>
      <c r="V123" s="149" t="e">
        <f t="shared" si="14"/>
        <v>#N/A</v>
      </c>
      <c r="W123" s="149" t="e">
        <f t="shared" si="15"/>
        <v>#N/A</v>
      </c>
      <c r="X123" s="150" t="e">
        <f t="shared" si="16"/>
        <v>#N/A</v>
      </c>
      <c r="Y123" s="149" t="e">
        <f t="shared" si="17"/>
        <v>#N/A</v>
      </c>
      <c r="Z123" s="151" t="e">
        <f t="shared" si="20"/>
        <v>#N/A</v>
      </c>
      <c r="AA123" s="152" t="e">
        <f t="shared" si="21"/>
        <v>#N/A</v>
      </c>
      <c r="AB123" s="149" t="e">
        <f t="shared" si="18"/>
        <v>#N/A</v>
      </c>
      <c r="AC123" s="149" t="e">
        <f t="shared" si="19"/>
        <v>#N/A</v>
      </c>
    </row>
    <row r="124" spans="2:29" ht="15.75">
      <c r="D124" s="13"/>
      <c r="G124" s="13"/>
      <c r="H124" s="428"/>
      <c r="I124" s="421"/>
      <c r="J124" s="144" t="s">
        <v>397</v>
      </c>
      <c r="K124" s="406" t="str">
        <f>IF(VALUE(MID(J124,2,3))&gt;$K$50,"",IF(VALUE(MID(J124,2,3))=$K$50,$K$48,(K122+$D$40+$D$34/2)/IF($D$43="先模切后冷压",1+设计主界面!$O$19,1)))</f>
        <v/>
      </c>
      <c r="L124" s="418"/>
      <c r="M124" s="144" t="s">
        <v>397</v>
      </c>
      <c r="N124" s="406" t="str">
        <f>IF(VALUE(MID(M124,2,3))&gt;$N$50,"",IF(VALUE(MID(M124,2,3))=$N$50,$N$48,(N122+$D$40+$D$35/2)/IF($D$42="先模切后冷压",1+设计主界面!$O$20,1)))</f>
        <v/>
      </c>
      <c r="O124" s="465"/>
      <c r="U124" s="139">
        <v>72</v>
      </c>
      <c r="V124" s="149" t="e">
        <f t="shared" si="14"/>
        <v>#N/A</v>
      </c>
      <c r="W124" s="149" t="e">
        <f t="shared" si="15"/>
        <v>#N/A</v>
      </c>
      <c r="X124" s="150" t="e">
        <f t="shared" si="16"/>
        <v>#N/A</v>
      </c>
      <c r="Y124" s="149" t="e">
        <f t="shared" si="17"/>
        <v>#N/A</v>
      </c>
      <c r="Z124" s="151" t="e">
        <f t="shared" si="20"/>
        <v>#N/A</v>
      </c>
      <c r="AA124" s="152" t="e">
        <f t="shared" si="21"/>
        <v>#N/A</v>
      </c>
      <c r="AB124" s="149" t="e">
        <f t="shared" si="18"/>
        <v>#N/A</v>
      </c>
      <c r="AC124" s="149" t="e">
        <f t="shared" si="19"/>
        <v>#N/A</v>
      </c>
    </row>
    <row r="125" spans="2:29" ht="15.75">
      <c r="D125" s="13"/>
      <c r="G125" s="13"/>
      <c r="H125" s="428"/>
      <c r="I125" s="421"/>
      <c r="J125" s="144" t="s">
        <v>398</v>
      </c>
      <c r="K125" s="406" t="str">
        <f>IF(VALUE(MID(J125,2,3))&gt;$K$50,"",IF(VALUE(MID(J125,2,3))=$K$50,$K$48,(K123+$D$40+$D$34/2)/IF($D$43="先模切后冷压",1+设计主界面!$O$19,1)))</f>
        <v/>
      </c>
      <c r="L125" s="418"/>
      <c r="M125" s="144" t="s">
        <v>398</v>
      </c>
      <c r="N125" s="406" t="str">
        <f>IF(VALUE(MID(M125,2,3))&gt;$N$50,"",IF(VALUE(MID(M125,2,3))=$N$50,$N$48,(N123+$D$40+$D$35/2)/IF($D$42="先模切后冷压",1+设计主界面!$O$20,1)))</f>
        <v/>
      </c>
      <c r="O125" s="465"/>
      <c r="U125" s="139">
        <v>73</v>
      </c>
      <c r="V125" s="149" t="e">
        <f t="shared" si="14"/>
        <v>#N/A</v>
      </c>
      <c r="W125" s="149" t="e">
        <f t="shared" si="15"/>
        <v>#N/A</v>
      </c>
      <c r="X125" s="150" t="e">
        <f t="shared" si="16"/>
        <v>#N/A</v>
      </c>
      <c r="Y125" s="149" t="e">
        <f t="shared" si="17"/>
        <v>#N/A</v>
      </c>
      <c r="Z125" s="151" t="e">
        <f t="shared" si="20"/>
        <v>#N/A</v>
      </c>
      <c r="AA125" s="152" t="e">
        <f t="shared" si="21"/>
        <v>#N/A</v>
      </c>
      <c r="AB125" s="149" t="e">
        <f t="shared" si="18"/>
        <v>#N/A</v>
      </c>
      <c r="AC125" s="149" t="e">
        <f t="shared" si="19"/>
        <v>#N/A</v>
      </c>
    </row>
    <row r="126" spans="2:29">
      <c r="D126" s="13"/>
      <c r="G126" s="13"/>
      <c r="H126" s="13"/>
      <c r="I126" s="421"/>
      <c r="J126" s="144" t="s">
        <v>399</v>
      </c>
      <c r="K126" s="406" t="str">
        <f>IF(VALUE(MID(J126,2,3))&gt;$K$50,"",IF(VALUE(MID(J126,2,3))=$K$50,$K$48,(K124+$D$40+$D$34/2)/IF($D$43="先模切后冷压",1+设计主界面!$O$19,1)))</f>
        <v/>
      </c>
      <c r="L126" s="418"/>
      <c r="M126" s="144" t="s">
        <v>399</v>
      </c>
      <c r="N126" s="406" t="str">
        <f>IF(VALUE(MID(M126,2,3))&gt;$N$50,"",IF(VALUE(MID(M126,2,3))=$N$50,$N$48,(N124+$D$40+$D$35/2)/IF($D$42="先模切后冷压",1+设计主界面!$O$20,1)))</f>
        <v/>
      </c>
      <c r="O126" s="465"/>
      <c r="U126" s="139">
        <v>74</v>
      </c>
      <c r="V126" s="149" t="e">
        <f t="shared" si="14"/>
        <v>#N/A</v>
      </c>
      <c r="W126" s="149" t="e">
        <f t="shared" si="15"/>
        <v>#N/A</v>
      </c>
      <c r="X126" s="150" t="e">
        <f t="shared" si="16"/>
        <v>#N/A</v>
      </c>
      <c r="Y126" s="149" t="e">
        <f t="shared" si="17"/>
        <v>#N/A</v>
      </c>
      <c r="Z126" s="151" t="e">
        <f t="shared" si="20"/>
        <v>#N/A</v>
      </c>
      <c r="AA126" s="152" t="e">
        <f t="shared" si="21"/>
        <v>#N/A</v>
      </c>
      <c r="AB126" s="149" t="e">
        <f t="shared" si="18"/>
        <v>#N/A</v>
      </c>
      <c r="AC126" s="149" t="e">
        <f t="shared" si="19"/>
        <v>#N/A</v>
      </c>
    </row>
    <row r="127" spans="2:29">
      <c r="D127" s="13"/>
      <c r="G127" s="13"/>
      <c r="H127" s="13"/>
      <c r="I127" s="421"/>
      <c r="J127" s="144" t="s">
        <v>400</v>
      </c>
      <c r="K127" s="406" t="str">
        <f>IF(VALUE(MID(J127,2,3))&gt;$K$50,"",IF(VALUE(MID(J127,2,3))=$K$50,$K$48,(K125+$D$40+$D$34/2)/IF($D$43="先模切后冷压",1+设计主界面!$O$19,1)))</f>
        <v/>
      </c>
      <c r="L127" s="418"/>
      <c r="M127" s="144" t="s">
        <v>400</v>
      </c>
      <c r="N127" s="406" t="str">
        <f>IF(VALUE(MID(M127,2,3))&gt;$N$50,"",IF(VALUE(MID(M127,2,3))=$N$50,$N$48,(N125+$D$40+$D$35/2)/IF($D$42="先模切后冷压",1+设计主界面!$O$20,1)))</f>
        <v/>
      </c>
      <c r="O127" s="465"/>
      <c r="U127" s="139">
        <v>75</v>
      </c>
      <c r="V127" s="149" t="e">
        <f t="shared" si="14"/>
        <v>#N/A</v>
      </c>
      <c r="W127" s="149" t="e">
        <f t="shared" si="15"/>
        <v>#N/A</v>
      </c>
      <c r="X127" s="150" t="e">
        <f t="shared" si="16"/>
        <v>#N/A</v>
      </c>
      <c r="Y127" s="149" t="e">
        <f t="shared" si="17"/>
        <v>#N/A</v>
      </c>
      <c r="Z127" s="151" t="e">
        <f t="shared" si="20"/>
        <v>#N/A</v>
      </c>
      <c r="AA127" s="152" t="e">
        <f t="shared" si="21"/>
        <v>#N/A</v>
      </c>
      <c r="AB127" s="149" t="e">
        <f t="shared" si="18"/>
        <v>#N/A</v>
      </c>
      <c r="AC127" s="149" t="e">
        <f t="shared" si="19"/>
        <v>#N/A</v>
      </c>
    </row>
    <row r="128" spans="2:29">
      <c r="D128" s="13"/>
      <c r="G128" s="13"/>
      <c r="H128" s="13"/>
      <c r="I128" s="421"/>
      <c r="J128" s="144" t="s">
        <v>401</v>
      </c>
      <c r="K128" s="406" t="str">
        <f>IF(VALUE(MID(J128,2,3))&gt;$K$50,"",IF(VALUE(MID(J128,2,3))=$K$50,$K$48,(K126+$D$40+$D$34/2)/IF($D$43="先模切后冷压",1+设计主界面!$O$19,1)))</f>
        <v/>
      </c>
      <c r="L128" s="418"/>
      <c r="M128" s="144" t="s">
        <v>401</v>
      </c>
      <c r="N128" s="406" t="str">
        <f>IF(VALUE(MID(M128,2,3))&gt;$N$50,"",IF(VALUE(MID(M128,2,3))=$N$50,$N$48,(N126+$D$40+$D$35/2)/IF($D$42="先模切后冷压",1+设计主界面!$O$20,1)))</f>
        <v/>
      </c>
      <c r="O128" s="465"/>
      <c r="U128" s="139">
        <v>76</v>
      </c>
      <c r="V128" s="149" t="e">
        <f t="shared" si="14"/>
        <v>#N/A</v>
      </c>
      <c r="W128" s="149" t="e">
        <f t="shared" si="15"/>
        <v>#N/A</v>
      </c>
      <c r="X128" s="150" t="e">
        <f t="shared" si="16"/>
        <v>#N/A</v>
      </c>
      <c r="Y128" s="149" t="e">
        <f t="shared" si="17"/>
        <v>#N/A</v>
      </c>
      <c r="Z128" s="151" t="e">
        <f t="shared" si="20"/>
        <v>#N/A</v>
      </c>
      <c r="AA128" s="152" t="e">
        <f t="shared" si="21"/>
        <v>#N/A</v>
      </c>
      <c r="AB128" s="149" t="e">
        <f t="shared" si="18"/>
        <v>#N/A</v>
      </c>
      <c r="AC128" s="149" t="e">
        <f t="shared" si="19"/>
        <v>#N/A</v>
      </c>
    </row>
    <row r="129" spans="4:29">
      <c r="D129" s="13"/>
      <c r="G129" s="13"/>
      <c r="H129" s="13"/>
      <c r="I129" s="421"/>
      <c r="J129" s="144" t="s">
        <v>402</v>
      </c>
      <c r="K129" s="406" t="str">
        <f>IF(VALUE(MID(J129,2,3))&gt;$K$50,"",IF(VALUE(MID(J129,2,3))=$K$50,$K$48,(K127+$D$40+$D$34/2)/IF($D$43="先模切后冷压",1+设计主界面!$O$19,1)))</f>
        <v/>
      </c>
      <c r="L129" s="418"/>
      <c r="M129" s="144" t="s">
        <v>402</v>
      </c>
      <c r="N129" s="406" t="str">
        <f>IF(VALUE(MID(M129,2,3))&gt;$N$50,"",IF(VALUE(MID(M129,2,3))=$N$50,$N$48,(N127+$D$40+$D$35/2)/IF($D$42="先模切后冷压",1+设计主界面!$O$20,1)))</f>
        <v/>
      </c>
      <c r="O129" s="465"/>
      <c r="U129" s="139">
        <v>77</v>
      </c>
      <c r="V129" s="149" t="e">
        <f t="shared" si="14"/>
        <v>#N/A</v>
      </c>
      <c r="W129" s="149" t="e">
        <f t="shared" si="15"/>
        <v>#N/A</v>
      </c>
      <c r="X129" s="150" t="e">
        <f t="shared" si="16"/>
        <v>#N/A</v>
      </c>
      <c r="Y129" s="149" t="e">
        <f t="shared" si="17"/>
        <v>#N/A</v>
      </c>
      <c r="Z129" s="151" t="e">
        <f t="shared" si="20"/>
        <v>#N/A</v>
      </c>
      <c r="AA129" s="152" t="e">
        <f t="shared" si="21"/>
        <v>#N/A</v>
      </c>
      <c r="AB129" s="149" t="e">
        <f t="shared" si="18"/>
        <v>#N/A</v>
      </c>
      <c r="AC129" s="149" t="e">
        <f t="shared" si="19"/>
        <v>#N/A</v>
      </c>
    </row>
    <row r="130" spans="4:29">
      <c r="D130" s="13"/>
      <c r="G130" s="13"/>
      <c r="H130" s="13"/>
      <c r="I130" s="421"/>
      <c r="J130" s="144" t="s">
        <v>403</v>
      </c>
      <c r="K130" s="406" t="str">
        <f>IF(VALUE(MID(J130,2,3))&gt;$K$50,"",IF(VALUE(MID(J130,2,3))=$K$50,$K$48,(K128+$D$40+$D$34/2)/IF($D$43="先模切后冷压",1+设计主界面!$O$19,1)))</f>
        <v/>
      </c>
      <c r="L130" s="418"/>
      <c r="M130" s="144" t="s">
        <v>403</v>
      </c>
      <c r="N130" s="406" t="str">
        <f>IF(VALUE(MID(M130,2,3))&gt;$N$50,"",IF(VALUE(MID(M130,2,3))=$N$50,$N$48,(N128+$D$40+$D$35/2)/IF($D$42="先模切后冷压",1+设计主界面!$O$20,1)))</f>
        <v/>
      </c>
      <c r="O130" s="465"/>
      <c r="U130" s="139">
        <v>78</v>
      </c>
      <c r="V130" s="149" t="e">
        <f t="shared" si="14"/>
        <v>#N/A</v>
      </c>
      <c r="W130" s="149" t="e">
        <f t="shared" si="15"/>
        <v>#N/A</v>
      </c>
      <c r="X130" s="150" t="e">
        <f t="shared" si="16"/>
        <v>#N/A</v>
      </c>
      <c r="Y130" s="149" t="e">
        <f t="shared" si="17"/>
        <v>#N/A</v>
      </c>
      <c r="Z130" s="151" t="e">
        <f t="shared" si="20"/>
        <v>#N/A</v>
      </c>
      <c r="AA130" s="152" t="e">
        <f t="shared" si="21"/>
        <v>#N/A</v>
      </c>
      <c r="AB130" s="149" t="e">
        <f t="shared" si="18"/>
        <v>#N/A</v>
      </c>
      <c r="AC130" s="149" t="e">
        <f t="shared" si="19"/>
        <v>#N/A</v>
      </c>
    </row>
    <row r="131" spans="4:29">
      <c r="D131" s="13"/>
      <c r="G131" s="13"/>
      <c r="H131" s="13"/>
      <c r="I131" s="421"/>
      <c r="J131" s="144" t="s">
        <v>404</v>
      </c>
      <c r="K131" s="406" t="str">
        <f>IF(VALUE(MID(J131,2,3))&gt;$K$50,"",IF(VALUE(MID(J131,2,3))=$K$50,$K$48,(K129+$D$40+$D$34/2)/IF($D$43="先模切后冷压",1+设计主界面!$O$19,1)))</f>
        <v/>
      </c>
      <c r="L131" s="418"/>
      <c r="M131" s="144" t="s">
        <v>404</v>
      </c>
      <c r="N131" s="406" t="str">
        <f>IF(VALUE(MID(M131,2,3))&gt;$N$50,"",IF(VALUE(MID(M131,2,3))=$N$50,$N$48,(N129+$D$40+$D$35/2)/IF($D$42="先模切后冷压",1+设计主界面!$O$20,1)))</f>
        <v/>
      </c>
      <c r="O131" s="465"/>
      <c r="U131" s="139">
        <v>79</v>
      </c>
      <c r="V131" s="149" t="e">
        <f t="shared" si="14"/>
        <v>#N/A</v>
      </c>
      <c r="W131" s="149" t="e">
        <f t="shared" si="15"/>
        <v>#N/A</v>
      </c>
      <c r="X131" s="150" t="e">
        <f t="shared" si="16"/>
        <v>#N/A</v>
      </c>
      <c r="Y131" s="149" t="e">
        <f t="shared" si="17"/>
        <v>#N/A</v>
      </c>
      <c r="Z131" s="151" t="e">
        <f t="shared" si="20"/>
        <v>#N/A</v>
      </c>
      <c r="AA131" s="152" t="e">
        <f t="shared" si="21"/>
        <v>#N/A</v>
      </c>
      <c r="AB131" s="149" t="e">
        <f t="shared" si="18"/>
        <v>#N/A</v>
      </c>
      <c r="AC131" s="149" t="e">
        <f t="shared" si="19"/>
        <v>#N/A</v>
      </c>
    </row>
    <row r="132" spans="4:29">
      <c r="G132" s="13"/>
      <c r="H132" s="13"/>
      <c r="I132" s="421"/>
      <c r="J132" s="144" t="s">
        <v>405</v>
      </c>
      <c r="K132" s="406" t="str">
        <f>IF(VALUE(MID(J132,2,3))&gt;$K$50,"",IF(VALUE(MID(J132,2,3))=$K$50,$K$48,(K130+$D$40+$D$34/2)/IF($D$43="先模切后冷压",1+设计主界面!$O$19,1)))</f>
        <v/>
      </c>
      <c r="L132" s="418"/>
      <c r="M132" s="144" t="s">
        <v>405</v>
      </c>
      <c r="N132" s="406" t="str">
        <f>IF(VALUE(MID(M132,2,3))&gt;$N$50,"",IF(VALUE(MID(M132,2,3))=$N$50,$N$48,(N130+$D$40+$D$35/2)/IF($D$42="先模切后冷压",1+设计主界面!$O$20,1)))</f>
        <v/>
      </c>
      <c r="O132" s="465"/>
      <c r="U132" s="139">
        <v>80</v>
      </c>
      <c r="V132" s="149" t="e">
        <f t="shared" si="14"/>
        <v>#N/A</v>
      </c>
      <c r="W132" s="149" t="e">
        <f t="shared" si="15"/>
        <v>#N/A</v>
      </c>
      <c r="X132" s="150" t="e">
        <f t="shared" si="16"/>
        <v>#N/A</v>
      </c>
      <c r="Y132" s="149" t="e">
        <f t="shared" si="17"/>
        <v>#N/A</v>
      </c>
      <c r="Z132" s="151" t="e">
        <f t="shared" si="20"/>
        <v>#N/A</v>
      </c>
      <c r="AA132" s="152" t="e">
        <f t="shared" si="21"/>
        <v>#N/A</v>
      </c>
      <c r="AB132" s="149" t="e">
        <f t="shared" si="18"/>
        <v>#N/A</v>
      </c>
      <c r="AC132" s="149" t="e">
        <f t="shared" si="19"/>
        <v>#N/A</v>
      </c>
    </row>
    <row r="133" spans="4:29">
      <c r="G133" s="13"/>
      <c r="H133" s="13"/>
      <c r="I133" s="421"/>
      <c r="J133" s="144" t="s">
        <v>406</v>
      </c>
      <c r="K133" s="406" t="str">
        <f>IF(VALUE(MID(J133,2,3))&gt;$K$50,"",IF(VALUE(MID(J133,2,3))=$K$50,$K$48,(K131+$D$40+$D$34/2)/IF($D$43="先模切后冷压",1+设计主界面!$O$19,1)))</f>
        <v/>
      </c>
      <c r="L133" s="418"/>
      <c r="M133" s="144" t="s">
        <v>406</v>
      </c>
      <c r="N133" s="406" t="str">
        <f>IF(VALUE(MID(M133,2,3))&gt;$N$50,"",IF(VALUE(MID(M133,2,3))=$N$50,$N$48,(N131+$D$40+$D$35/2)/IF($D$42="先模切后冷压",1+设计主界面!$O$20,1)))</f>
        <v/>
      </c>
      <c r="O133" s="465"/>
      <c r="U133" s="139">
        <v>81</v>
      </c>
      <c r="V133" s="149" t="e">
        <f t="shared" si="14"/>
        <v>#N/A</v>
      </c>
      <c r="W133" s="149" t="e">
        <f t="shared" si="15"/>
        <v>#N/A</v>
      </c>
      <c r="X133" s="150" t="e">
        <f t="shared" si="16"/>
        <v>#N/A</v>
      </c>
      <c r="Y133" s="149" t="e">
        <f t="shared" si="17"/>
        <v>#N/A</v>
      </c>
      <c r="Z133" s="151" t="e">
        <f t="shared" si="20"/>
        <v>#N/A</v>
      </c>
      <c r="AA133" s="152" t="e">
        <f t="shared" si="21"/>
        <v>#N/A</v>
      </c>
      <c r="AB133" s="149" t="e">
        <f t="shared" si="18"/>
        <v>#N/A</v>
      </c>
      <c r="AC133" s="149" t="e">
        <f t="shared" si="19"/>
        <v>#N/A</v>
      </c>
    </row>
    <row r="134" spans="4:29">
      <c r="G134" s="13"/>
      <c r="H134" s="13"/>
      <c r="I134" s="421"/>
      <c r="J134" s="144" t="s">
        <v>407</v>
      </c>
      <c r="K134" s="406" t="str">
        <f>IF(VALUE(MID(J134,2,3))&gt;$K$50,"",IF(VALUE(MID(J134,2,3))=$K$50,$K$48,(K132+$D$40+$D$34/2)/IF($D$43="先模切后冷压",1+设计主界面!$O$19,1)))</f>
        <v/>
      </c>
      <c r="L134" s="418"/>
      <c r="M134" s="144" t="s">
        <v>407</v>
      </c>
      <c r="N134" s="406" t="str">
        <f>IF(VALUE(MID(M134,2,3))&gt;$N$50,"",IF(VALUE(MID(M134,2,3))=$N$50,$N$48,(N132+$D$40+$D$35/2)/IF($D$42="先模切后冷压",1+设计主界面!$O$20,1)))</f>
        <v/>
      </c>
      <c r="O134" s="465"/>
      <c r="U134" s="139">
        <v>82</v>
      </c>
      <c r="V134" s="149" t="e">
        <f t="shared" si="14"/>
        <v>#N/A</v>
      </c>
      <c r="W134" s="149" t="e">
        <f t="shared" si="15"/>
        <v>#N/A</v>
      </c>
      <c r="X134" s="150" t="e">
        <f t="shared" si="16"/>
        <v>#N/A</v>
      </c>
      <c r="Y134" s="149" t="e">
        <f t="shared" si="17"/>
        <v>#N/A</v>
      </c>
      <c r="Z134" s="151" t="e">
        <f t="shared" si="20"/>
        <v>#N/A</v>
      </c>
      <c r="AA134" s="152" t="e">
        <f t="shared" si="21"/>
        <v>#N/A</v>
      </c>
      <c r="AB134" s="149" t="e">
        <f t="shared" si="18"/>
        <v>#N/A</v>
      </c>
      <c r="AC134" s="149" t="e">
        <f t="shared" si="19"/>
        <v>#N/A</v>
      </c>
    </row>
    <row r="135" spans="4:29">
      <c r="G135" s="13"/>
      <c r="H135" s="13"/>
      <c r="I135" s="421"/>
      <c r="J135" s="144" t="s">
        <v>408</v>
      </c>
      <c r="K135" s="406" t="str">
        <f>IF(VALUE(MID(J135,2,3))&gt;$K$50,"",IF(VALUE(MID(J135,2,3))=$K$50,$K$48,(K133+$D$40+$D$34/2)/IF($D$43="先模切后冷压",1+设计主界面!$O$19,1)))</f>
        <v/>
      </c>
      <c r="L135" s="418"/>
      <c r="M135" s="144" t="s">
        <v>408</v>
      </c>
      <c r="N135" s="406" t="str">
        <f>IF(VALUE(MID(M135,2,3))&gt;$N$50,"",IF(VALUE(MID(M135,2,3))=$N$50,$N$48,(N133+$D$40+$D$35/2)/IF($D$42="先模切后冷压",1+设计主界面!$O$20,1)))</f>
        <v/>
      </c>
      <c r="O135" s="465"/>
      <c r="U135" s="139">
        <v>83</v>
      </c>
      <c r="V135" s="149" t="e">
        <f t="shared" si="14"/>
        <v>#N/A</v>
      </c>
      <c r="W135" s="149" t="e">
        <f t="shared" si="15"/>
        <v>#N/A</v>
      </c>
      <c r="X135" s="150" t="e">
        <f t="shared" si="16"/>
        <v>#N/A</v>
      </c>
      <c r="Y135" s="149" t="e">
        <f t="shared" si="17"/>
        <v>#N/A</v>
      </c>
      <c r="Z135" s="151" t="e">
        <f t="shared" si="20"/>
        <v>#N/A</v>
      </c>
      <c r="AA135" s="152" t="e">
        <f t="shared" si="21"/>
        <v>#N/A</v>
      </c>
      <c r="AB135" s="149" t="e">
        <f t="shared" si="18"/>
        <v>#N/A</v>
      </c>
      <c r="AC135" s="149" t="e">
        <f t="shared" si="19"/>
        <v>#N/A</v>
      </c>
    </row>
    <row r="136" spans="4:29">
      <c r="G136" s="13"/>
      <c r="H136" s="13"/>
      <c r="I136" s="421"/>
      <c r="J136" s="144" t="s">
        <v>409</v>
      </c>
      <c r="K136" s="406" t="str">
        <f>IF(VALUE(MID(J136,2,3))&gt;$K$50,"",IF(VALUE(MID(J136,2,3))=$K$50,$K$48,(K134+$D$40+$D$34/2)/IF($D$43="先模切后冷压",1+设计主界面!$O$19,1)))</f>
        <v/>
      </c>
      <c r="L136" s="418"/>
      <c r="M136" s="144" t="s">
        <v>409</v>
      </c>
      <c r="N136" s="406" t="str">
        <f>IF(VALUE(MID(M136,2,3))&gt;$N$50,"",IF(VALUE(MID(M136,2,3))=$N$50,$N$48,(N134+$D$40+$D$35/2)/IF($D$42="先模切后冷压",1+设计主界面!$O$20,1)))</f>
        <v/>
      </c>
      <c r="O136" s="465"/>
      <c r="U136" s="139">
        <v>84</v>
      </c>
      <c r="V136" s="149" t="e">
        <f t="shared" si="14"/>
        <v>#N/A</v>
      </c>
      <c r="W136" s="149" t="e">
        <f t="shared" si="15"/>
        <v>#N/A</v>
      </c>
      <c r="X136" s="150" t="e">
        <f t="shared" si="16"/>
        <v>#N/A</v>
      </c>
      <c r="Y136" s="149" t="e">
        <f t="shared" si="17"/>
        <v>#N/A</v>
      </c>
      <c r="Z136" s="151" t="e">
        <f t="shared" si="20"/>
        <v>#N/A</v>
      </c>
      <c r="AA136" s="152" t="e">
        <f t="shared" si="21"/>
        <v>#N/A</v>
      </c>
      <c r="AB136" s="149" t="e">
        <f t="shared" si="18"/>
        <v>#N/A</v>
      </c>
      <c r="AC136" s="149" t="e">
        <f t="shared" si="19"/>
        <v>#N/A</v>
      </c>
    </row>
    <row r="137" spans="4:29">
      <c r="G137" s="13"/>
      <c r="H137" s="13"/>
      <c r="I137" s="421"/>
      <c r="J137" s="144" t="s">
        <v>410</v>
      </c>
      <c r="K137" s="406" t="str">
        <f>IF(VALUE(MID(J137,2,3))&gt;$K$50,"",IF(VALUE(MID(J137,2,3))=$K$50,$K$48,(K135+$D$40+$D$34/2)/IF($D$43="先模切后冷压",1+设计主界面!$O$19,1)))</f>
        <v/>
      </c>
      <c r="L137" s="418"/>
      <c r="M137" s="144" t="s">
        <v>410</v>
      </c>
      <c r="N137" s="406" t="str">
        <f>IF(VALUE(MID(M137,2,3))&gt;$N$50,"",IF(VALUE(MID(M137,2,3))=$N$50,$N$48,(N135+$D$40+$D$35/2)/IF($D$42="先模切后冷压",1+设计主界面!$O$20,1)))</f>
        <v/>
      </c>
      <c r="O137" s="465"/>
      <c r="U137" s="139">
        <v>85</v>
      </c>
      <c r="V137" s="149" t="e">
        <f t="shared" si="14"/>
        <v>#N/A</v>
      </c>
      <c r="W137" s="149" t="e">
        <f t="shared" si="15"/>
        <v>#N/A</v>
      </c>
      <c r="X137" s="150" t="e">
        <f t="shared" si="16"/>
        <v>#N/A</v>
      </c>
      <c r="Y137" s="149" t="e">
        <f t="shared" si="17"/>
        <v>#N/A</v>
      </c>
      <c r="Z137" s="151" t="e">
        <f t="shared" si="20"/>
        <v>#N/A</v>
      </c>
      <c r="AA137" s="152" t="e">
        <f t="shared" si="21"/>
        <v>#N/A</v>
      </c>
      <c r="AB137" s="149" t="e">
        <f t="shared" si="18"/>
        <v>#N/A</v>
      </c>
      <c r="AC137" s="149" t="e">
        <f t="shared" si="19"/>
        <v>#N/A</v>
      </c>
    </row>
    <row r="138" spans="4:29">
      <c r="G138" s="13"/>
      <c r="H138" s="13"/>
      <c r="J138" s="144" t="s">
        <v>411</v>
      </c>
      <c r="K138" s="406" t="str">
        <f>IF(VALUE(MID(J138,2,3))&gt;$K$50,"",IF(VALUE(MID(J138,2,3))=$K$50,$K$48,(K136+$D$40+$D$34/2)/IF($D$43="先模切后冷压",1+设计主界面!$O$19,1)))</f>
        <v/>
      </c>
      <c r="L138" s="418"/>
      <c r="M138" s="144" t="s">
        <v>411</v>
      </c>
      <c r="N138" s="406" t="str">
        <f>IF(VALUE(MID(M138,2,3))&gt;$N$50,"",IF(VALUE(MID(M138,2,3))=$N$50,$N$48,(N136+$D$40+$D$35/2)/IF($D$42="先模切后冷压",1+设计主界面!$O$20,1)))</f>
        <v/>
      </c>
      <c r="O138" s="465"/>
      <c r="U138" s="139">
        <v>86</v>
      </c>
      <c r="V138" s="149" t="e">
        <f t="shared" si="14"/>
        <v>#N/A</v>
      </c>
      <c r="W138" s="149" t="e">
        <f t="shared" si="15"/>
        <v>#N/A</v>
      </c>
      <c r="X138" s="150" t="e">
        <f t="shared" si="16"/>
        <v>#N/A</v>
      </c>
      <c r="Y138" s="149" t="e">
        <f t="shared" si="17"/>
        <v>#N/A</v>
      </c>
      <c r="Z138" s="151" t="e">
        <f t="shared" si="20"/>
        <v>#N/A</v>
      </c>
      <c r="AA138" s="152" t="e">
        <f t="shared" si="21"/>
        <v>#N/A</v>
      </c>
      <c r="AB138" s="149" t="e">
        <f t="shared" si="18"/>
        <v>#N/A</v>
      </c>
      <c r="AC138" s="149" t="e">
        <f t="shared" si="19"/>
        <v>#N/A</v>
      </c>
    </row>
    <row r="139" spans="4:29">
      <c r="G139" s="13"/>
      <c r="H139" s="13"/>
      <c r="J139" s="144" t="s">
        <v>412</v>
      </c>
      <c r="K139" s="406" t="str">
        <f>IF(VALUE(MID(J139,2,3))&gt;$K$50,"",IF(VALUE(MID(J139,2,3))=$K$50,$K$48,(K137+$D$40+$D$34/2)/IF($D$43="先模切后冷压",1+设计主界面!$O$19,1)))</f>
        <v/>
      </c>
      <c r="L139" s="418"/>
      <c r="M139" s="144" t="s">
        <v>412</v>
      </c>
      <c r="N139" s="406" t="str">
        <f>IF(VALUE(MID(M139,2,3))&gt;$N$50,"",IF(VALUE(MID(M139,2,3))=$N$50,$N$48,(N137+$D$40+$D$35/2)/IF($D$42="先模切后冷压",1+设计主界面!$O$20,1)))</f>
        <v/>
      </c>
      <c r="O139" s="465"/>
      <c r="U139" s="139">
        <v>87</v>
      </c>
      <c r="V139" s="149" t="e">
        <f t="shared" si="14"/>
        <v>#N/A</v>
      </c>
      <c r="W139" s="149" t="e">
        <f t="shared" si="15"/>
        <v>#N/A</v>
      </c>
      <c r="X139" s="150" t="e">
        <f t="shared" si="16"/>
        <v>#N/A</v>
      </c>
      <c r="Y139" s="149" t="e">
        <f t="shared" si="17"/>
        <v>#N/A</v>
      </c>
      <c r="Z139" s="151" t="e">
        <f t="shared" si="20"/>
        <v>#N/A</v>
      </c>
      <c r="AA139" s="152" t="e">
        <f t="shared" si="21"/>
        <v>#N/A</v>
      </c>
      <c r="AB139" s="149" t="e">
        <f t="shared" si="18"/>
        <v>#N/A</v>
      </c>
      <c r="AC139" s="149" t="e">
        <f t="shared" si="19"/>
        <v>#N/A</v>
      </c>
    </row>
    <row r="140" spans="4:29">
      <c r="G140" s="13"/>
      <c r="H140" s="13"/>
      <c r="J140" s="144" t="s">
        <v>413</v>
      </c>
      <c r="K140" s="406" t="str">
        <f>IF(VALUE(MID(J140,2,3))&gt;$K$50,"",IF(VALUE(MID(J140,2,3))=$K$50,$K$48,(K138+$D$40+$D$34/2)/IF($D$43="先模切后冷压",1+设计主界面!$O$19,1)))</f>
        <v/>
      </c>
      <c r="L140" s="418"/>
      <c r="M140" s="144" t="s">
        <v>413</v>
      </c>
      <c r="N140" s="406" t="str">
        <f>IF(VALUE(MID(M140,2,3))&gt;$N$50,"",IF(VALUE(MID(M140,2,3))=$N$50,$N$48,(N138+$D$40+$D$35/2)/IF($D$42="先模切后冷压",1+设计主界面!$O$20,1)))</f>
        <v/>
      </c>
      <c r="O140" s="465"/>
      <c r="U140" s="139">
        <v>88</v>
      </c>
      <c r="V140" s="149" t="e">
        <f t="shared" si="14"/>
        <v>#N/A</v>
      </c>
      <c r="W140" s="149" t="e">
        <f t="shared" si="15"/>
        <v>#N/A</v>
      </c>
      <c r="X140" s="150" t="e">
        <f t="shared" si="16"/>
        <v>#N/A</v>
      </c>
      <c r="Y140" s="149" t="e">
        <f t="shared" si="17"/>
        <v>#N/A</v>
      </c>
      <c r="Z140" s="151" t="e">
        <f t="shared" si="20"/>
        <v>#N/A</v>
      </c>
      <c r="AA140" s="152" t="e">
        <f t="shared" si="21"/>
        <v>#N/A</v>
      </c>
      <c r="AB140" s="149" t="e">
        <f t="shared" si="18"/>
        <v>#N/A</v>
      </c>
      <c r="AC140" s="149" t="e">
        <f t="shared" si="19"/>
        <v>#N/A</v>
      </c>
    </row>
    <row r="141" spans="4:29">
      <c r="G141" s="13"/>
      <c r="H141" s="13"/>
      <c r="J141" s="144" t="s">
        <v>414</v>
      </c>
      <c r="K141" s="406" t="str">
        <f>IF(VALUE(MID(J141,2,3))&gt;$K$50,"",IF(VALUE(MID(J141,2,3))=$K$50,$K$48,(K139+$D$40+$D$34/2)/IF($D$43="先模切后冷压",1+设计主界面!$O$19,1)))</f>
        <v/>
      </c>
      <c r="L141" s="418"/>
      <c r="M141" s="144" t="s">
        <v>414</v>
      </c>
      <c r="N141" s="406" t="str">
        <f>IF(VALUE(MID(M141,2,3))&gt;$N$50,"",IF(VALUE(MID(M141,2,3))=$N$50,$N$48,(N139+$D$40+$D$35/2)/IF($D$42="先模切后冷压",1+设计主界面!$O$20,1)))</f>
        <v/>
      </c>
      <c r="O141" s="465"/>
      <c r="U141" s="139">
        <v>89</v>
      </c>
      <c r="V141" s="149" t="e">
        <f t="shared" si="14"/>
        <v>#N/A</v>
      </c>
      <c r="W141" s="149" t="e">
        <f t="shared" si="15"/>
        <v>#N/A</v>
      </c>
      <c r="X141" s="150" t="e">
        <f t="shared" si="16"/>
        <v>#N/A</v>
      </c>
      <c r="Y141" s="149" t="e">
        <f t="shared" si="17"/>
        <v>#N/A</v>
      </c>
      <c r="Z141" s="151" t="e">
        <f t="shared" si="20"/>
        <v>#N/A</v>
      </c>
      <c r="AA141" s="152" t="e">
        <f t="shared" si="21"/>
        <v>#N/A</v>
      </c>
      <c r="AB141" s="149" t="e">
        <f t="shared" si="18"/>
        <v>#N/A</v>
      </c>
      <c r="AC141" s="149" t="e">
        <f t="shared" si="19"/>
        <v>#N/A</v>
      </c>
    </row>
    <row r="142" spans="4:29">
      <c r="G142" s="13"/>
      <c r="H142" s="13"/>
      <c r="J142" s="144" t="s">
        <v>415</v>
      </c>
      <c r="K142" s="406" t="str">
        <f>IF(VALUE(MID(J142,2,3))&gt;$K$50,"",IF(VALUE(MID(J142,2,3))=$K$50,$K$48,(K140+$D$40+$D$34/2)/IF($D$43="先模切后冷压",1+设计主界面!$O$19,1)))</f>
        <v/>
      </c>
      <c r="L142" s="418"/>
      <c r="M142" s="144" t="s">
        <v>415</v>
      </c>
      <c r="N142" s="406" t="str">
        <f>IF(VALUE(MID(M142,2,3))&gt;$N$50,"",IF(VALUE(MID(M142,2,3))=$N$50,$N$48,(N140+$D$40+$D$35/2)/IF($D$42="先模切后冷压",1+设计主界面!$O$20,1)))</f>
        <v/>
      </c>
      <c r="O142" s="465"/>
      <c r="U142" s="139">
        <v>90</v>
      </c>
      <c r="V142" s="149" t="e">
        <f t="shared" si="14"/>
        <v>#N/A</v>
      </c>
      <c r="W142" s="149" t="e">
        <f t="shared" si="15"/>
        <v>#N/A</v>
      </c>
      <c r="X142" s="150" t="e">
        <f t="shared" si="16"/>
        <v>#N/A</v>
      </c>
      <c r="Y142" s="149" t="e">
        <f t="shared" si="17"/>
        <v>#N/A</v>
      </c>
      <c r="Z142" s="151" t="e">
        <f t="shared" si="20"/>
        <v>#N/A</v>
      </c>
      <c r="AA142" s="152" t="e">
        <f t="shared" si="21"/>
        <v>#N/A</v>
      </c>
      <c r="AB142" s="149" t="e">
        <f t="shared" si="18"/>
        <v>#N/A</v>
      </c>
      <c r="AC142" s="149" t="e">
        <f t="shared" si="19"/>
        <v>#N/A</v>
      </c>
    </row>
    <row r="143" spans="4:29">
      <c r="G143" s="13"/>
      <c r="H143" s="13"/>
      <c r="J143" s="144" t="s">
        <v>416</v>
      </c>
      <c r="K143" s="406" t="str">
        <f>IF(VALUE(MID(J143,2,3))&gt;$K$50,"",IF(VALUE(MID(J143,2,3))=$K$50,$K$48,(K141+$D$40+$D$34/2)/IF($D$43="先模切后冷压",1+设计主界面!$O$19,1)))</f>
        <v/>
      </c>
      <c r="L143" s="418"/>
      <c r="M143" s="144" t="s">
        <v>416</v>
      </c>
      <c r="N143" s="406" t="str">
        <f>IF(VALUE(MID(M143,2,3))&gt;$N$50,"",IF(VALUE(MID(M143,2,3))=$N$50,$N$48,(N141+$D$40+$D$35/2)/IF($D$42="先模切后冷压",1+设计主界面!$O$20,1)))</f>
        <v/>
      </c>
      <c r="O143" s="465"/>
      <c r="U143" s="139">
        <v>91</v>
      </c>
      <c r="V143" s="149" t="e">
        <f t="shared" si="14"/>
        <v>#N/A</v>
      </c>
      <c r="W143" s="149" t="e">
        <f t="shared" si="15"/>
        <v>#N/A</v>
      </c>
      <c r="X143" s="150" t="e">
        <f t="shared" si="16"/>
        <v>#N/A</v>
      </c>
      <c r="Y143" s="149" t="e">
        <f t="shared" si="17"/>
        <v>#N/A</v>
      </c>
      <c r="Z143" s="151" t="e">
        <f t="shared" si="20"/>
        <v>#N/A</v>
      </c>
      <c r="AA143" s="152" t="e">
        <f t="shared" si="21"/>
        <v>#N/A</v>
      </c>
      <c r="AB143" s="149" t="e">
        <f t="shared" si="18"/>
        <v>#N/A</v>
      </c>
      <c r="AC143" s="149" t="e">
        <f t="shared" si="19"/>
        <v>#N/A</v>
      </c>
    </row>
    <row r="144" spans="4:29">
      <c r="G144" s="13"/>
      <c r="H144" s="13"/>
      <c r="J144" s="144" t="s">
        <v>417</v>
      </c>
      <c r="K144" s="406" t="str">
        <f>IF(VALUE(MID(J144,2,3))&gt;$K$50,"",IF(VALUE(MID(J144,2,3))=$K$50,$K$48,(K142+$D$40+$D$34/2)/IF($D$43="先模切后冷压",1+设计主界面!$O$19,1)))</f>
        <v/>
      </c>
      <c r="L144" s="418"/>
      <c r="M144" s="144" t="s">
        <v>417</v>
      </c>
      <c r="N144" s="406" t="str">
        <f>IF(VALUE(MID(M144,2,3))&gt;$N$50,"",IF(VALUE(MID(M144,2,3))=$N$50,$N$48,(N142+$D$40+$D$35/2)/IF($D$42="先模切后冷压",1+设计主界面!$O$20,1)))</f>
        <v/>
      </c>
      <c r="O144" s="465"/>
      <c r="U144" s="139">
        <v>92</v>
      </c>
      <c r="V144" s="149" t="e">
        <f t="shared" si="14"/>
        <v>#N/A</v>
      </c>
      <c r="W144" s="149" t="e">
        <f t="shared" si="15"/>
        <v>#N/A</v>
      </c>
      <c r="X144" s="150" t="e">
        <f t="shared" si="16"/>
        <v>#N/A</v>
      </c>
      <c r="Y144" s="149" t="e">
        <f t="shared" si="17"/>
        <v>#N/A</v>
      </c>
      <c r="Z144" s="151" t="e">
        <f t="shared" si="20"/>
        <v>#N/A</v>
      </c>
      <c r="AA144" s="152" t="e">
        <f t="shared" si="21"/>
        <v>#N/A</v>
      </c>
      <c r="AB144" s="149" t="e">
        <f t="shared" si="18"/>
        <v>#N/A</v>
      </c>
      <c r="AC144" s="149" t="e">
        <f t="shared" si="19"/>
        <v>#N/A</v>
      </c>
    </row>
    <row r="145" spans="7:29">
      <c r="G145" s="13"/>
      <c r="H145" s="13"/>
      <c r="J145" s="144" t="s">
        <v>418</v>
      </c>
      <c r="K145" s="406" t="str">
        <f>IF(VALUE(MID(J145,2,3))&gt;$K$50,"",IF(VALUE(MID(J145,2,3))=$K$50,$K$48,(K143+$D$40+$D$34/2)/IF($D$43="先模切后冷压",1+设计主界面!$O$19,1)))</f>
        <v/>
      </c>
      <c r="L145" s="418"/>
      <c r="M145" s="144" t="s">
        <v>418</v>
      </c>
      <c r="N145" s="406" t="str">
        <f>IF(VALUE(MID(M145,2,3))&gt;$N$50,"",IF(VALUE(MID(M145,2,3))=$N$50,$N$48,(N143+$D$40+$D$35/2)/IF($D$42="先模切后冷压",1+设计主界面!$O$20,1)))</f>
        <v/>
      </c>
      <c r="O145" s="465"/>
      <c r="U145" s="139">
        <v>93</v>
      </c>
      <c r="V145" s="149" t="e">
        <f t="shared" si="14"/>
        <v>#N/A</v>
      </c>
      <c r="W145" s="149" t="e">
        <f t="shared" si="15"/>
        <v>#N/A</v>
      </c>
      <c r="X145" s="150" t="e">
        <f t="shared" si="16"/>
        <v>#N/A</v>
      </c>
      <c r="Y145" s="149" t="e">
        <f t="shared" si="17"/>
        <v>#N/A</v>
      </c>
      <c r="Z145" s="151" t="e">
        <f t="shared" si="20"/>
        <v>#N/A</v>
      </c>
      <c r="AA145" s="152" t="e">
        <f t="shared" si="21"/>
        <v>#N/A</v>
      </c>
      <c r="AB145" s="149" t="e">
        <f t="shared" si="18"/>
        <v>#N/A</v>
      </c>
      <c r="AC145" s="149" t="e">
        <f t="shared" si="19"/>
        <v>#N/A</v>
      </c>
    </row>
    <row r="146" spans="7:29">
      <c r="H146" s="13"/>
      <c r="J146" s="144" t="s">
        <v>419</v>
      </c>
      <c r="K146" s="406" t="str">
        <f>IF(VALUE(MID(J146,2,3))&gt;$K$50,"",IF(VALUE(MID(J146,2,3))=$K$50,$K$48,(K144+$D$40+$D$34/2)/IF($D$43="先模切后冷压",1+设计主界面!$O$19,1)))</f>
        <v/>
      </c>
      <c r="L146" s="418"/>
      <c r="M146" s="144" t="s">
        <v>419</v>
      </c>
      <c r="N146" s="406" t="str">
        <f>IF(VALUE(MID(M146,2,3))&gt;$N$50,"",IF(VALUE(MID(M146,2,3))=$N$50,$N$48,(N144+$D$40+$D$35/2)/IF($D$42="先模切后冷压",1+设计主界面!$O$20,1)))</f>
        <v/>
      </c>
      <c r="O146" s="465"/>
      <c r="U146" s="139">
        <v>94</v>
      </c>
      <c r="V146" s="149" t="e">
        <f t="shared" si="14"/>
        <v>#N/A</v>
      </c>
      <c r="W146" s="149" t="e">
        <f t="shared" si="15"/>
        <v>#N/A</v>
      </c>
      <c r="X146" s="150" t="e">
        <f t="shared" si="16"/>
        <v>#N/A</v>
      </c>
      <c r="Y146" s="149" t="e">
        <f t="shared" si="17"/>
        <v>#N/A</v>
      </c>
      <c r="Z146" s="151" t="e">
        <f t="shared" si="20"/>
        <v>#N/A</v>
      </c>
      <c r="AA146" s="152" t="e">
        <f t="shared" si="21"/>
        <v>#N/A</v>
      </c>
      <c r="AB146" s="149" t="e">
        <f t="shared" si="18"/>
        <v>#N/A</v>
      </c>
      <c r="AC146" s="149" t="e">
        <f t="shared" si="19"/>
        <v>#N/A</v>
      </c>
    </row>
    <row r="147" spans="7:29">
      <c r="H147" s="13"/>
      <c r="J147" s="144" t="s">
        <v>420</v>
      </c>
      <c r="K147" s="406" t="str">
        <f>IF(VALUE(MID(J147,2,3))&gt;$K$50,"",IF(VALUE(MID(J147,2,3))=$K$50,$K$48,(K145+$D$40+$D$34/2)/IF($D$43="先模切后冷压",1+设计主界面!$O$19,1)))</f>
        <v/>
      </c>
      <c r="L147" s="418"/>
      <c r="M147" s="144" t="s">
        <v>420</v>
      </c>
      <c r="N147" s="406" t="str">
        <f>IF(VALUE(MID(M147,2,3))&gt;$N$50,"",IF(VALUE(MID(M147,2,3))=$N$50,$N$48,(N145+$D$40+$D$35/2)/IF($D$42="先模切后冷压",1+设计主界面!$O$20,1)))</f>
        <v/>
      </c>
      <c r="O147" s="465"/>
      <c r="U147" s="139">
        <v>95</v>
      </c>
      <c r="V147" s="149" t="e">
        <f t="shared" si="14"/>
        <v>#N/A</v>
      </c>
      <c r="W147" s="149" t="e">
        <f t="shared" si="15"/>
        <v>#N/A</v>
      </c>
      <c r="X147" s="150" t="e">
        <f t="shared" si="16"/>
        <v>#N/A</v>
      </c>
      <c r="Y147" s="149" t="e">
        <f t="shared" si="17"/>
        <v>#N/A</v>
      </c>
      <c r="Z147" s="151" t="e">
        <f t="shared" si="20"/>
        <v>#N/A</v>
      </c>
      <c r="AA147" s="152" t="e">
        <f t="shared" si="21"/>
        <v>#N/A</v>
      </c>
      <c r="AB147" s="149" t="e">
        <f t="shared" si="18"/>
        <v>#N/A</v>
      </c>
      <c r="AC147" s="149" t="e">
        <f t="shared" si="19"/>
        <v>#N/A</v>
      </c>
    </row>
    <row r="148" spans="7:29">
      <c r="H148" s="13"/>
      <c r="J148" s="144" t="s">
        <v>421</v>
      </c>
      <c r="K148" s="406" t="str">
        <f>IF(VALUE(MID(J148,2,3))&gt;$K$50,"",IF(VALUE(MID(J148,2,3))=$K$50,$K$48,(K146+$D$40+$D$34/2)/IF($D$43="先模切后冷压",1+设计主界面!$O$19,1)))</f>
        <v/>
      </c>
      <c r="L148" s="418"/>
      <c r="M148" s="144" t="s">
        <v>421</v>
      </c>
      <c r="N148" s="406" t="str">
        <f>IF(VALUE(MID(M148,2,3))&gt;$N$50,"",IF(VALUE(MID(M148,2,3))=$N$50,$N$48,(N146+$D$40+$D$35/2)/IF($D$42="先模切后冷压",1+设计主界面!$O$20,1)))</f>
        <v/>
      </c>
      <c r="O148" s="465"/>
      <c r="U148" s="139">
        <v>96</v>
      </c>
      <c r="V148" s="149" t="e">
        <f t="shared" si="14"/>
        <v>#N/A</v>
      </c>
      <c r="W148" s="149" t="e">
        <f t="shared" si="15"/>
        <v>#N/A</v>
      </c>
      <c r="X148" s="150" t="e">
        <f t="shared" si="16"/>
        <v>#N/A</v>
      </c>
      <c r="Y148" s="149" t="e">
        <f t="shared" si="17"/>
        <v>#N/A</v>
      </c>
      <c r="Z148" s="151" t="e">
        <f t="shared" si="20"/>
        <v>#N/A</v>
      </c>
      <c r="AA148" s="152" t="e">
        <f t="shared" si="21"/>
        <v>#N/A</v>
      </c>
      <c r="AB148" s="149" t="e">
        <f t="shared" si="18"/>
        <v>#N/A</v>
      </c>
      <c r="AC148" s="149" t="e">
        <f t="shared" si="19"/>
        <v>#N/A</v>
      </c>
    </row>
    <row r="149" spans="7:29">
      <c r="H149" s="13"/>
      <c r="J149" s="144" t="s">
        <v>422</v>
      </c>
      <c r="K149" s="406" t="str">
        <f>IF(VALUE(MID(J149,2,3))&gt;$K$50,"",IF(VALUE(MID(J149,2,3))=$K$50,$K$48,(K147+$D$40+$D$34/2)/IF($D$43="先模切后冷压",1+设计主界面!$O$19,1)))</f>
        <v/>
      </c>
      <c r="L149" s="418"/>
      <c r="M149" s="144" t="s">
        <v>422</v>
      </c>
      <c r="N149" s="406" t="str">
        <f>IF(VALUE(MID(M149,2,3))&gt;$N$50,"",IF(VALUE(MID(M149,2,3))=$N$50,$N$48,(N147+$D$40+$D$35/2)/IF($D$42="先模切后冷压",1+设计主界面!$O$20,1)))</f>
        <v/>
      </c>
      <c r="O149" s="465"/>
      <c r="U149" s="139">
        <v>97</v>
      </c>
      <c r="V149" s="149" t="e">
        <f t="shared" si="14"/>
        <v>#N/A</v>
      </c>
      <c r="W149" s="149" t="e">
        <f t="shared" si="15"/>
        <v>#N/A</v>
      </c>
      <c r="X149" s="150" t="e">
        <f t="shared" si="16"/>
        <v>#N/A</v>
      </c>
      <c r="Y149" s="149" t="e">
        <f t="shared" si="17"/>
        <v>#N/A</v>
      </c>
      <c r="Z149" s="151" t="e">
        <f t="shared" si="20"/>
        <v>#N/A</v>
      </c>
      <c r="AA149" s="152" t="e">
        <f t="shared" si="21"/>
        <v>#N/A</v>
      </c>
      <c r="AB149" s="149" t="e">
        <f t="shared" si="18"/>
        <v>#N/A</v>
      </c>
      <c r="AC149" s="149" t="e">
        <f t="shared" si="19"/>
        <v>#N/A</v>
      </c>
    </row>
    <row r="150" spans="7:29">
      <c r="H150" s="13"/>
      <c r="J150" s="144" t="s">
        <v>423</v>
      </c>
      <c r="K150" s="406" t="str">
        <f>IF(VALUE(MID(J150,2,3))&gt;$K$50,"",IF(VALUE(MID(J150,2,3))=$K$50,$K$48,(K148+$D$40+$D$34/2)/IF($D$43="先模切后冷压",1+设计主界面!$O$19,1)))</f>
        <v/>
      </c>
      <c r="L150" s="418"/>
      <c r="M150" s="144" t="s">
        <v>423</v>
      </c>
      <c r="N150" s="406" t="str">
        <f>IF(VALUE(MID(M150,2,3))&gt;$N$50,"",IF(VALUE(MID(M150,2,3))=$N$50,$N$48,(N148+$D$40+$D$35/2)/IF($D$42="先模切后冷压",1+设计主界面!$O$20,1)))</f>
        <v/>
      </c>
      <c r="O150" s="465"/>
      <c r="U150" s="139">
        <v>98</v>
      </c>
      <c r="V150" s="149" t="e">
        <f t="shared" ref="V150:V152" si="22">$I$32/2+INT((U149-1)/2)*$D$40/2+INT((U150-1)/2)*$D$40/2</f>
        <v>#N/A</v>
      </c>
      <c r="W150" s="149" t="e">
        <f>V150+W149</f>
        <v>#N/A</v>
      </c>
      <c r="X150" s="150" t="e">
        <f t="shared" si="16"/>
        <v>#N/A</v>
      </c>
      <c r="Y150" s="149" t="e">
        <f>X150+Y149</f>
        <v>#N/A</v>
      </c>
      <c r="Z150" s="151" t="e">
        <f>V150+INT((U150-1)/2)*$D$34/2</f>
        <v>#N/A</v>
      </c>
      <c r="AA150" s="152" t="e">
        <f>X150+INT((U150-1)/2)/2*$D$35</f>
        <v>#N/A</v>
      </c>
      <c r="AB150" s="149" t="e">
        <f t="shared" si="18"/>
        <v>#N/A</v>
      </c>
      <c r="AC150" s="149" t="e">
        <f t="shared" si="19"/>
        <v>#N/A</v>
      </c>
    </row>
    <row r="151" spans="7:29">
      <c r="H151" s="13"/>
      <c r="J151" s="144" t="s">
        <v>424</v>
      </c>
      <c r="K151" s="406" t="str">
        <f>IF(VALUE(MID(J151,2,3))&gt;$K$50,"",IF(VALUE(MID(J151,2,3))=$K$50,$K$48,(K149+$D$40+$D$34/2)/IF($D$43="先模切后冷压",1+设计主界面!$O$19,1)))</f>
        <v/>
      </c>
      <c r="L151" s="418"/>
      <c r="M151" s="144" t="s">
        <v>424</v>
      </c>
      <c r="N151" s="406" t="str">
        <f>IF(VALUE(MID(M151,2,3))&gt;$N$50,"",IF(VALUE(MID(M151,2,3))=$N$50,$N$48,(N149+$D$40+$D$35/2)/IF($D$42="先模切后冷压",1+设计主界面!$O$20,1)))</f>
        <v/>
      </c>
      <c r="O151" s="465"/>
      <c r="U151" s="139">
        <v>99</v>
      </c>
      <c r="V151" s="149" t="e">
        <f t="shared" si="22"/>
        <v>#N/A</v>
      </c>
      <c r="W151" s="149" t="e">
        <f>V151+W150</f>
        <v>#N/A</v>
      </c>
      <c r="X151" s="150" t="e">
        <f t="shared" si="16"/>
        <v>#N/A</v>
      </c>
      <c r="Y151" s="149" t="e">
        <f>X151+Y150</f>
        <v>#N/A</v>
      </c>
      <c r="Z151" s="151" t="e">
        <f>V151+INT((U151-1)/2)*$D$34/2</f>
        <v>#N/A</v>
      </c>
      <c r="AA151" s="152" t="e">
        <f>X151+INT((U151-1)/2)/2*$D$35</f>
        <v>#N/A</v>
      </c>
      <c r="AB151" s="149" t="e">
        <f t="shared" si="18"/>
        <v>#N/A</v>
      </c>
      <c r="AC151" s="149" t="e">
        <f t="shared" si="19"/>
        <v>#N/A</v>
      </c>
    </row>
    <row r="152" spans="7:29">
      <c r="H152" s="13"/>
      <c r="J152" s="144" t="s">
        <v>425</v>
      </c>
      <c r="K152" s="406" t="str">
        <f>IF(VALUE(MID(J152,2,3))&gt;$K$50,"",IF(VALUE(MID(J152,2,3))=$K$50,$K$48,(K150+$D$40+$D$34/2)/IF($D$43="先模切后冷压",1+设计主界面!$O$19,1)))</f>
        <v/>
      </c>
      <c r="L152" s="418"/>
      <c r="M152" s="144" t="s">
        <v>425</v>
      </c>
      <c r="N152" s="406" t="str">
        <f>IF(VALUE(MID(M152,2,3))&gt;$N$50,"",IF(VALUE(MID(M152,2,3))=$N$50,$N$48,(N150+$D$40+$D$35/2)/IF($D$42="先模切后冷压",1+设计主界面!$O$20,1)))</f>
        <v/>
      </c>
      <c r="O152" s="465"/>
      <c r="U152" s="139">
        <v>100</v>
      </c>
      <c r="V152" s="149" t="e">
        <f t="shared" si="22"/>
        <v>#N/A</v>
      </c>
      <c r="W152" s="149" t="e">
        <f>V152+W151</f>
        <v>#N/A</v>
      </c>
      <c r="X152" s="150" t="e">
        <f t="shared" si="16"/>
        <v>#N/A</v>
      </c>
      <c r="Y152" s="149" t="e">
        <f>X152+Y151</f>
        <v>#N/A</v>
      </c>
      <c r="Z152" s="151" t="e">
        <f>V152+INT((U152-1)/2)*$D$34/2</f>
        <v>#N/A</v>
      </c>
      <c r="AA152" s="152" t="e">
        <f>X152+INT((U152-1)/2)/2*$D$35</f>
        <v>#N/A</v>
      </c>
      <c r="AB152" s="149" t="e">
        <f t="shared" si="18"/>
        <v>#N/A</v>
      </c>
      <c r="AC152" s="149" t="e">
        <f t="shared" si="19"/>
        <v>#N/A</v>
      </c>
    </row>
  </sheetData>
  <sheetProtection algorithmName="SHA-512" hashValue="4VX6w8RCMhxx6YoAsz21hNzZQySxbH9p9TVTO6b7wrcM60YagGgOl+vgOpeBHCoyyq1MAfEm7uX0mslquZqt5A==" saltValue="9ZM/d+FdwugfvrMZgbOwtw==" spinCount="100000" sheet="1" objects="1" scenarios="1" formatCells="0" formatColumns="0" formatRows="0" insertColumns="0" insertRows="0" insertHyperlinks="0" deleteColumns="0" deleteRows="0" sort="0" autoFilter="0" pivotTables="0"/>
  <mergeCells count="23">
    <mergeCell ref="X51:Y51"/>
    <mergeCell ref="Z51:AA51"/>
    <mergeCell ref="AB51:AC51"/>
    <mergeCell ref="B51:C52"/>
    <mergeCell ref="E51:F52"/>
    <mergeCell ref="J51:K52"/>
    <mergeCell ref="M51:N52"/>
    <mergeCell ref="U51:U52"/>
    <mergeCell ref="B40:C40"/>
    <mergeCell ref="B41:C41"/>
    <mergeCell ref="V51:W51"/>
    <mergeCell ref="G37:H37"/>
    <mergeCell ref="B32:C32"/>
    <mergeCell ref="B33:C33"/>
    <mergeCell ref="B34:C34"/>
    <mergeCell ref="B35:C35"/>
    <mergeCell ref="B39:C39"/>
    <mergeCell ref="B36:C36"/>
    <mergeCell ref="G32:H32"/>
    <mergeCell ref="G33:H33"/>
    <mergeCell ref="G34:H34"/>
    <mergeCell ref="G35:H35"/>
    <mergeCell ref="G36:H36"/>
  </mergeCells>
  <phoneticPr fontId="6" type="noConversion"/>
  <dataValidations count="1">
    <dataValidation type="list" allowBlank="1" showInputMessage="1" showErrorMessage="1" sqref="D42:D43">
      <formula1>"先冷压后模切,先模切后冷压"</formula1>
    </dataValidation>
  </dataValidations>
  <hyperlinks>
    <hyperlink ref="Q29" location="设计主界面!A1" display="返回"/>
  </hyperlinks>
  <pageMargins left="0.7" right="0.7" top="0.75" bottom="0.75" header="0.3" footer="0.3"/>
  <pageSetup paperSize="9" orientation="portrait" r:id="rId1"/>
  <drawing r:id="rId2"/>
  <legacyDrawing r:id="rId3"/>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T120"/>
  <sheetViews>
    <sheetView showGridLines="0" topLeftCell="A8" zoomScaleNormal="100" workbookViewId="0">
      <selection activeCell="O7" sqref="O7"/>
    </sheetView>
  </sheetViews>
  <sheetFormatPr defaultColWidth="9" defaultRowHeight="15.75"/>
  <cols>
    <col min="1" max="1" width="3.125" style="237" customWidth="1" collapsed="1"/>
    <col min="2" max="2" width="9" style="237" collapsed="1"/>
    <col min="3" max="4" width="10.25" style="237" customWidth="1" collapsed="1"/>
    <col min="5" max="5" width="13.125" style="237" customWidth="1" collapsed="1"/>
    <col min="6" max="6" width="13.5" style="237" customWidth="1" collapsed="1"/>
    <col min="7" max="7" width="9.125" style="237" bestFit="1" customWidth="1" collapsed="1"/>
    <col min="8" max="10" width="9.375" style="237" bestFit="1" customWidth="1" collapsed="1"/>
    <col min="11" max="12" width="9" style="237" customWidth="1" collapsed="1"/>
    <col min="13" max="13" width="9" style="237" collapsed="1"/>
    <col min="14" max="14" width="14.125" style="237" customWidth="1" collapsed="1"/>
    <col min="15" max="15" width="5.625" style="237" customWidth="1" collapsed="1"/>
    <col min="16" max="16" width="9" style="237" collapsed="1"/>
    <col min="17" max="17" width="13.5" style="237" customWidth="1" collapsed="1"/>
    <col min="18" max="16384" width="9" style="237" collapsed="1"/>
  </cols>
  <sheetData>
    <row r="1" spans="1:20">
      <c r="B1" s="238"/>
      <c r="C1" s="239"/>
      <c r="D1" s="239"/>
      <c r="E1" s="239"/>
      <c r="F1" s="240"/>
      <c r="G1" s="240"/>
      <c r="H1" s="240"/>
      <c r="I1" s="240"/>
      <c r="J1" s="915"/>
      <c r="K1" s="915"/>
      <c r="M1" s="578"/>
      <c r="N1" s="241"/>
      <c r="O1" s="241"/>
      <c r="P1" s="241"/>
      <c r="Q1" s="241"/>
      <c r="R1" s="241"/>
      <c r="S1" s="241"/>
      <c r="T1" s="241"/>
    </row>
    <row r="2" spans="1:20" ht="21.75" thickBot="1">
      <c r="A2" s="146"/>
      <c r="B2" s="242" t="s">
        <v>197</v>
      </c>
      <c r="C2" s="243"/>
      <c r="D2" s="244"/>
      <c r="E2" s="245"/>
      <c r="F2" s="916"/>
      <c r="G2" s="916"/>
      <c r="H2" s="916"/>
      <c r="I2" s="916"/>
      <c r="J2" s="917"/>
      <c r="K2" s="917"/>
      <c r="L2" s="681" t="s">
        <v>73</v>
      </c>
      <c r="M2" s="246"/>
      <c r="N2" s="246"/>
      <c r="O2" s="246"/>
      <c r="P2" s="246"/>
      <c r="Q2" s="246"/>
      <c r="R2" s="241"/>
      <c r="S2" s="241"/>
      <c r="T2" s="241"/>
    </row>
    <row r="3" spans="1:20" ht="16.5" thickTop="1">
      <c r="B3" s="238"/>
      <c r="C3" s="247"/>
      <c r="D3" s="248"/>
      <c r="E3" s="249"/>
      <c r="F3" s="240"/>
      <c r="G3" s="240"/>
      <c r="H3" s="240"/>
      <c r="I3" s="240"/>
      <c r="J3" s="915"/>
      <c r="K3" s="915"/>
      <c r="L3" s="241"/>
      <c r="M3" s="918" t="s">
        <v>441</v>
      </c>
      <c r="N3" s="250"/>
      <c r="O3" s="241"/>
      <c r="P3" s="241"/>
      <c r="Q3" s="241"/>
      <c r="R3" s="241"/>
      <c r="S3" s="241"/>
      <c r="T3" s="241"/>
    </row>
    <row r="4" spans="1:20">
      <c r="B4" s="238"/>
      <c r="C4" s="247"/>
      <c r="D4" s="248"/>
      <c r="E4" s="249"/>
      <c r="F4" s="240"/>
      <c r="H4" s="240"/>
      <c r="I4" s="240"/>
      <c r="J4" s="915"/>
      <c r="K4" s="915"/>
      <c r="L4" s="241"/>
      <c r="M4" s="241"/>
      <c r="N4" s="241"/>
      <c r="O4" s="241"/>
      <c r="P4" s="241"/>
      <c r="Q4" s="241"/>
      <c r="R4" s="241"/>
      <c r="S4" s="241"/>
      <c r="T4" s="241"/>
    </row>
    <row r="5" spans="1:20">
      <c r="F5" s="241"/>
      <c r="G5" s="919">
        <f>设计主界面!E34</f>
        <v>0</v>
      </c>
      <c r="H5" s="241"/>
      <c r="I5" s="250"/>
      <c r="J5" s="241"/>
      <c r="K5" s="241"/>
      <c r="L5" s="250"/>
      <c r="M5" s="241"/>
      <c r="N5" s="241"/>
      <c r="O5" s="241"/>
      <c r="P5" s="241"/>
      <c r="Q5" s="241"/>
      <c r="R5" s="241"/>
      <c r="S5" s="241"/>
      <c r="T5" s="241"/>
    </row>
    <row r="6" spans="1:20">
      <c r="F6" s="241"/>
      <c r="G6" s="241"/>
      <c r="H6" s="241"/>
      <c r="I6" s="241"/>
      <c r="J6" s="241"/>
      <c r="K6" s="241"/>
      <c r="L6" s="241"/>
      <c r="M6" s="241"/>
      <c r="N6" s="241"/>
      <c r="O6" s="241"/>
      <c r="P6" s="241"/>
      <c r="Q6" s="241"/>
      <c r="R6" s="241"/>
      <c r="S6" s="241"/>
      <c r="T6" s="241"/>
    </row>
    <row r="7" spans="1:20">
      <c r="A7" s="920"/>
      <c r="B7" s="241"/>
      <c r="C7" s="921"/>
      <c r="D7" s="921"/>
      <c r="E7" s="921"/>
      <c r="F7" s="921"/>
      <c r="G7" s="921"/>
      <c r="H7" s="921"/>
      <c r="I7" s="921"/>
      <c r="J7" s="921"/>
      <c r="K7" s="922"/>
      <c r="L7" s="922"/>
      <c r="M7" s="399"/>
      <c r="N7" s="241"/>
      <c r="O7" s="241"/>
      <c r="P7" s="241"/>
      <c r="Q7" s="241"/>
      <c r="R7" s="241"/>
      <c r="S7" s="241"/>
      <c r="T7" s="241"/>
    </row>
    <row r="8" spans="1:20">
      <c r="B8" s="921"/>
      <c r="C8" s="921"/>
      <c r="D8" s="921"/>
      <c r="E8" s="921"/>
      <c r="F8" s="921"/>
      <c r="G8" s="921"/>
      <c r="H8" s="921"/>
      <c r="I8" s="921"/>
      <c r="J8" s="921"/>
      <c r="K8" s="921"/>
    </row>
    <row r="9" spans="1:20">
      <c r="B9" s="921"/>
      <c r="C9" s="923">
        <f>L12-O16</f>
        <v>-4.25</v>
      </c>
      <c r="D9" s="921"/>
      <c r="E9" s="921"/>
      <c r="F9" s="921"/>
      <c r="G9" s="921"/>
      <c r="H9" s="921"/>
      <c r="I9" s="921"/>
      <c r="J9" s="921"/>
      <c r="K9" s="921"/>
      <c r="L9" s="237">
        <f>设计主界面!G34</f>
        <v>0</v>
      </c>
    </row>
    <row r="10" spans="1:20">
      <c r="B10" s="921"/>
      <c r="C10" s="921"/>
      <c r="D10" s="921"/>
      <c r="E10" s="921"/>
      <c r="F10" s="921"/>
      <c r="G10" s="921"/>
      <c r="H10" s="921"/>
      <c r="I10" s="921"/>
      <c r="J10" s="921"/>
      <c r="K10" s="921"/>
      <c r="N10" s="251" t="s">
        <v>67</v>
      </c>
      <c r="O10" s="1228" t="s">
        <v>145</v>
      </c>
      <c r="P10" s="1228"/>
      <c r="Q10" s="924" t="s">
        <v>298</v>
      </c>
    </row>
    <row r="11" spans="1:20">
      <c r="B11" s="921"/>
      <c r="C11" s="921"/>
      <c r="D11" s="921"/>
      <c r="E11" s="921"/>
      <c r="F11" s="921"/>
      <c r="G11" s="921"/>
      <c r="H11" s="921"/>
      <c r="I11" s="925" t="s">
        <v>575</v>
      </c>
      <c r="J11" s="926">
        <f>O15</f>
        <v>0.5</v>
      </c>
      <c r="K11" s="921"/>
      <c r="N11" s="252" t="s">
        <v>294</v>
      </c>
      <c r="O11" s="1023">
        <v>1.5</v>
      </c>
      <c r="P11" s="253" t="s">
        <v>295</v>
      </c>
      <c r="Q11" s="927"/>
    </row>
    <row r="12" spans="1:20">
      <c r="A12" s="1226" t="s">
        <v>144</v>
      </c>
      <c r="B12" s="1226"/>
      <c r="C12" s="921"/>
      <c r="D12" s="921"/>
      <c r="E12" s="921"/>
      <c r="F12" s="921"/>
      <c r="G12" s="921"/>
      <c r="H12" s="921"/>
      <c r="I12" s="921"/>
      <c r="J12" s="928">
        <f>L12-J13</f>
        <v>-6.75</v>
      </c>
      <c r="K12" s="929"/>
      <c r="L12" s="1229">
        <f>O17-O12</f>
        <v>-2.25</v>
      </c>
      <c r="M12" s="146"/>
      <c r="N12" s="254" t="s">
        <v>301</v>
      </c>
      <c r="O12" s="1023">
        <v>2.25</v>
      </c>
      <c r="P12" s="255" t="s">
        <v>295</v>
      </c>
      <c r="Q12" s="927"/>
    </row>
    <row r="13" spans="1:20">
      <c r="B13" s="921"/>
      <c r="C13" s="921"/>
      <c r="D13" s="921"/>
      <c r="E13" s="921"/>
      <c r="F13" s="921"/>
      <c r="G13" s="921"/>
      <c r="H13" s="921"/>
      <c r="I13" s="921"/>
      <c r="J13" s="954">
        <f>O14-J14</f>
        <v>4.5</v>
      </c>
      <c r="K13" s="256" t="s">
        <v>297</v>
      </c>
      <c r="L13" s="1229"/>
      <c r="M13" s="913"/>
      <c r="N13" s="252" t="s">
        <v>149</v>
      </c>
      <c r="O13" s="1023">
        <v>0.25</v>
      </c>
      <c r="P13" s="253" t="s">
        <v>66</v>
      </c>
      <c r="Q13" s="927"/>
      <c r="R13" s="930" t="s">
        <v>326</v>
      </c>
    </row>
    <row r="14" spans="1:20" ht="17.25" customHeight="1">
      <c r="B14" s="921"/>
      <c r="C14" s="921"/>
      <c r="D14" s="921"/>
      <c r="E14" s="921"/>
      <c r="F14" s="921"/>
      <c r="G14" s="921"/>
      <c r="H14" s="921"/>
      <c r="I14" s="921"/>
      <c r="J14" s="931">
        <f>O19-O11</f>
        <v>-1.5</v>
      </c>
      <c r="K14" s="256" t="s">
        <v>296</v>
      </c>
      <c r="N14" s="252" t="s">
        <v>868</v>
      </c>
      <c r="O14" s="1023">
        <v>3</v>
      </c>
      <c r="P14" s="932" t="s">
        <v>66</v>
      </c>
      <c r="Q14" s="927"/>
    </row>
    <row r="15" spans="1:20" ht="17.25" customHeight="1">
      <c r="B15" s="921"/>
      <c r="C15" s="921"/>
      <c r="D15" s="921"/>
      <c r="E15" s="921"/>
      <c r="F15" s="921"/>
      <c r="G15" s="921"/>
      <c r="H15" s="921"/>
      <c r="I15" s="921"/>
      <c r="J15" s="921"/>
      <c r="K15" s="921"/>
      <c r="M15" s="933"/>
      <c r="N15" s="252" t="s">
        <v>573</v>
      </c>
      <c r="O15" s="1023">
        <v>0.5</v>
      </c>
      <c r="P15" s="932" t="s">
        <v>574</v>
      </c>
      <c r="Q15" s="927"/>
    </row>
    <row r="16" spans="1:20" ht="17.25" customHeight="1">
      <c r="B16" s="921"/>
      <c r="C16" s="921"/>
      <c r="D16" s="921"/>
      <c r="E16" s="921"/>
      <c r="F16" s="921"/>
      <c r="G16" s="921"/>
      <c r="H16" s="921"/>
      <c r="I16" s="921"/>
      <c r="J16" s="921"/>
      <c r="K16" s="921"/>
      <c r="N16" s="934" t="s">
        <v>378</v>
      </c>
      <c r="O16" s="1023">
        <v>2</v>
      </c>
      <c r="P16" s="253" t="s">
        <v>377</v>
      </c>
      <c r="Q16" s="935" t="str">
        <f>IF(C9&gt;=0,"ok","not ok")</f>
        <v>not ok</v>
      </c>
      <c r="R16" s="930" t="s">
        <v>870</v>
      </c>
    </row>
    <row r="17" spans="2:18" ht="17.25" customHeight="1">
      <c r="B17" s="921"/>
      <c r="C17" s="921"/>
      <c r="D17" s="921"/>
      <c r="E17" s="921"/>
      <c r="F17" s="921"/>
      <c r="G17" s="921"/>
      <c r="H17" s="921"/>
      <c r="I17" s="921"/>
      <c r="J17" s="921"/>
      <c r="K17" s="921"/>
      <c r="N17" s="936" t="s">
        <v>146</v>
      </c>
      <c r="O17" s="937">
        <f>设计主界面!G15</f>
        <v>0</v>
      </c>
      <c r="P17" s="938" t="s">
        <v>66</v>
      </c>
      <c r="Q17" s="935" t="str">
        <f>IF(O17&gt;=5,"ok","not ok")</f>
        <v>not ok</v>
      </c>
      <c r="R17" s="241" t="s">
        <v>324</v>
      </c>
    </row>
    <row r="18" spans="2:18" ht="17.25" customHeight="1">
      <c r="B18" s="921"/>
      <c r="C18" s="921"/>
      <c r="D18" s="921"/>
      <c r="E18" s="921"/>
      <c r="F18" s="921"/>
      <c r="G18" s="921"/>
      <c r="H18" s="921"/>
      <c r="I18" s="921"/>
      <c r="J18" s="921"/>
      <c r="K18" s="921"/>
      <c r="N18" s="252" t="s">
        <v>147</v>
      </c>
      <c r="O18" s="939">
        <f>设计主界面!H15</f>
        <v>0</v>
      </c>
      <c r="P18" s="253" t="s">
        <v>66</v>
      </c>
      <c r="Q18" s="927" t="str">
        <f>IF(O18&lt;=(J12+J28)*(1.2/3.5),"ok","not ok")</f>
        <v>not ok</v>
      </c>
      <c r="R18" s="241" t="s">
        <v>903</v>
      </c>
    </row>
    <row r="19" spans="2:18" ht="17.25" customHeight="1">
      <c r="B19" s="921"/>
      <c r="C19" s="921"/>
      <c r="D19" s="921"/>
      <c r="E19" s="921"/>
      <c r="F19" s="921"/>
      <c r="G19" s="921"/>
      <c r="H19" s="921"/>
      <c r="I19" s="921"/>
      <c r="J19" s="921"/>
      <c r="K19" s="921"/>
      <c r="N19" s="252" t="s">
        <v>148</v>
      </c>
      <c r="O19" s="939">
        <f>设计主界面!F15</f>
        <v>0</v>
      </c>
      <c r="P19" s="253" t="s">
        <v>66</v>
      </c>
      <c r="Q19" s="935" t="str">
        <f>IF(O19&gt;=3,"ok","not ok")</f>
        <v>not ok</v>
      </c>
      <c r="R19" s="241" t="s">
        <v>325</v>
      </c>
    </row>
    <row r="20" spans="2:18" ht="17.25" customHeight="1">
      <c r="B20" s="921"/>
      <c r="C20" s="921"/>
      <c r="D20" s="921"/>
      <c r="E20" s="921"/>
      <c r="F20" s="921"/>
      <c r="G20" s="921"/>
      <c r="H20" s="921"/>
      <c r="I20" s="921"/>
      <c r="J20" s="921"/>
      <c r="K20" s="921"/>
      <c r="N20" s="252" t="s">
        <v>143</v>
      </c>
      <c r="O20" s="966">
        <f>O14+O21</f>
        <v>-3.25</v>
      </c>
      <c r="P20" s="253" t="s">
        <v>66</v>
      </c>
      <c r="Q20" s="935" t="str">
        <f>IF(O20&gt;=5,"ok","not ok")</f>
        <v>not ok</v>
      </c>
      <c r="R20" s="241" t="s">
        <v>327</v>
      </c>
    </row>
    <row r="21" spans="2:18" ht="17.25" customHeight="1">
      <c r="B21" s="921"/>
      <c r="C21" s="921"/>
      <c r="D21" s="921"/>
      <c r="E21" s="921"/>
      <c r="F21" s="921"/>
      <c r="G21" s="921"/>
      <c r="H21" s="921"/>
      <c r="I21" s="921"/>
      <c r="J21" s="921"/>
      <c r="K21" s="921"/>
      <c r="N21" s="252" t="s">
        <v>872</v>
      </c>
      <c r="O21" s="966">
        <f>J12+J11</f>
        <v>-6.25</v>
      </c>
      <c r="P21" s="253" t="s">
        <v>66</v>
      </c>
      <c r="Q21" s="927"/>
    </row>
    <row r="22" spans="2:18" ht="17.25" customHeight="1">
      <c r="B22" s="921"/>
      <c r="C22" s="921"/>
      <c r="D22" s="921"/>
      <c r="E22" s="921"/>
      <c r="F22" s="921"/>
      <c r="G22" s="921"/>
      <c r="H22" s="921"/>
      <c r="I22" s="921"/>
      <c r="J22" s="921"/>
      <c r="K22" s="921"/>
      <c r="N22" s="941" t="s">
        <v>150</v>
      </c>
      <c r="O22" s="939" t="e">
        <f>设计主界面!D40</f>
        <v>#N/A</v>
      </c>
      <c r="P22" s="932"/>
      <c r="Q22" s="927"/>
    </row>
    <row r="23" spans="2:18" ht="17.25" customHeight="1">
      <c r="B23" s="921"/>
      <c r="C23" s="921"/>
      <c r="D23" s="921"/>
      <c r="E23" s="921"/>
      <c r="F23" s="921"/>
      <c r="G23" s="921"/>
      <c r="H23" s="921"/>
      <c r="I23" s="921"/>
      <c r="J23" s="921"/>
      <c r="K23" s="921"/>
      <c r="N23" s="941" t="s">
        <v>343</v>
      </c>
      <c r="O23" s="940" t="e">
        <f>O22+O14</f>
        <v>#N/A</v>
      </c>
      <c r="P23" s="932"/>
      <c r="Q23" s="927"/>
      <c r="R23" s="930" t="s">
        <v>869</v>
      </c>
    </row>
    <row r="24" spans="2:18" ht="17.25" customHeight="1">
      <c r="B24" s="921"/>
      <c r="C24" s="921"/>
      <c r="D24" s="921"/>
      <c r="E24" s="921"/>
      <c r="F24" s="921"/>
      <c r="G24" s="921"/>
      <c r="H24" s="921"/>
      <c r="I24" s="921"/>
      <c r="J24" s="921"/>
      <c r="K24" s="921"/>
      <c r="N24" s="941" t="s">
        <v>151</v>
      </c>
      <c r="O24" s="940" t="e">
        <f>设计主界面!D39</f>
        <v>#N/A</v>
      </c>
      <c r="P24" s="932"/>
      <c r="Q24" s="927"/>
    </row>
    <row r="25" spans="2:18" ht="17.25" customHeight="1">
      <c r="B25" s="921"/>
      <c r="C25" s="921"/>
      <c r="D25" s="921"/>
      <c r="E25" s="921"/>
      <c r="F25" s="921"/>
      <c r="G25" s="921"/>
      <c r="H25" s="921"/>
      <c r="I25" s="921"/>
      <c r="J25" s="921"/>
      <c r="K25" s="921"/>
      <c r="N25" s="941" t="s">
        <v>152</v>
      </c>
      <c r="O25" s="940" t="e">
        <f>设计主界面!D41</f>
        <v>#N/A</v>
      </c>
      <c r="P25" s="932"/>
      <c r="Q25" s="927"/>
    </row>
    <row r="26" spans="2:18" ht="17.25" customHeight="1">
      <c r="B26" s="921"/>
      <c r="C26" s="921"/>
      <c r="D26" s="921"/>
      <c r="E26" s="921"/>
      <c r="F26" s="921"/>
      <c r="G26" s="921"/>
      <c r="H26" s="921"/>
      <c r="I26" s="921"/>
      <c r="J26" s="1227">
        <f>O11</f>
        <v>1.5</v>
      </c>
      <c r="K26" s="921"/>
      <c r="N26" s="941" t="s">
        <v>153</v>
      </c>
      <c r="O26" s="940" t="e">
        <f>O25+极耳错位!F62</f>
        <v>#N/A</v>
      </c>
      <c r="P26" s="932"/>
      <c r="Q26" s="927"/>
      <c r="R26" s="146"/>
    </row>
    <row r="27" spans="2:18">
      <c r="B27" s="921"/>
      <c r="C27" s="921"/>
      <c r="D27" s="921"/>
      <c r="E27" s="921"/>
      <c r="F27" s="921"/>
      <c r="G27" s="921"/>
      <c r="H27" s="921"/>
      <c r="I27" s="921"/>
      <c r="J27" s="1227"/>
      <c r="K27" s="921"/>
      <c r="N27" s="146"/>
    </row>
    <row r="28" spans="2:18">
      <c r="B28" s="921"/>
      <c r="C28" s="921"/>
      <c r="D28" s="921"/>
      <c r="E28" s="921"/>
      <c r="F28" s="921"/>
      <c r="G28" s="921"/>
      <c r="H28" s="921"/>
      <c r="I28" s="921"/>
      <c r="J28" s="942">
        <f>O12</f>
        <v>2.25</v>
      </c>
      <c r="K28" s="921"/>
      <c r="N28" s="146"/>
    </row>
    <row r="29" spans="2:18">
      <c r="B29" s="921"/>
      <c r="C29" s="921"/>
      <c r="D29" s="921"/>
      <c r="E29" s="921"/>
      <c r="F29" s="921"/>
      <c r="G29" s="921"/>
      <c r="H29" s="921"/>
      <c r="I29" s="921"/>
      <c r="J29" s="921"/>
      <c r="K29" s="921"/>
      <c r="N29" s="146"/>
    </row>
    <row r="30" spans="2:18">
      <c r="C30" s="257"/>
      <c r="N30" s="146"/>
    </row>
    <row r="31" spans="2:18">
      <c r="B31" s="920"/>
      <c r="C31" s="257"/>
      <c r="N31" s="146"/>
    </row>
    <row r="32" spans="2:18" ht="19.5" thickBot="1">
      <c r="B32" s="258" t="s">
        <v>198</v>
      </c>
      <c r="C32" s="259"/>
      <c r="D32" s="260"/>
      <c r="E32" s="261"/>
      <c r="F32" s="260"/>
      <c r="G32" s="260"/>
      <c r="H32" s="260"/>
      <c r="I32" s="260"/>
      <c r="J32" s="260"/>
      <c r="K32" s="260"/>
      <c r="L32" s="260"/>
      <c r="M32" s="260"/>
      <c r="N32" s="260"/>
      <c r="O32" s="260"/>
      <c r="P32" s="260"/>
      <c r="Q32" s="260"/>
    </row>
    <row r="33" spans="2:14" ht="16.5" thickTop="1">
      <c r="B33" s="223" t="s">
        <v>199</v>
      </c>
      <c r="C33" s="257"/>
      <c r="N33" s="943"/>
    </row>
    <row r="34" spans="2:14">
      <c r="K34" s="237" t="s">
        <v>154</v>
      </c>
      <c r="L34" s="967" t="e">
        <f>K36+K40+K45</f>
        <v>#N/A</v>
      </c>
    </row>
    <row r="35" spans="2:14">
      <c r="B35" s="944"/>
      <c r="C35" s="945"/>
      <c r="D35" s="921"/>
      <c r="E35" s="921"/>
      <c r="F35" s="921"/>
      <c r="G35" s="921"/>
      <c r="H35" s="921"/>
      <c r="I35" s="921"/>
      <c r="J35" s="921"/>
      <c r="K35" s="946"/>
      <c r="L35" s="921"/>
      <c r="M35" s="921"/>
    </row>
    <row r="36" spans="2:14">
      <c r="B36" s="944"/>
      <c r="C36" s="945"/>
      <c r="D36" s="921"/>
      <c r="E36" s="921"/>
      <c r="F36" s="921"/>
      <c r="G36" s="921"/>
      <c r="H36" s="921"/>
      <c r="I36" s="921"/>
      <c r="J36" s="921"/>
      <c r="K36" s="968">
        <f>K56-F55</f>
        <v>-4.25</v>
      </c>
      <c r="L36" s="921"/>
      <c r="M36" s="921"/>
    </row>
    <row r="37" spans="2:14">
      <c r="B37" s="944"/>
      <c r="C37" s="921"/>
      <c r="D37" s="921"/>
      <c r="E37" s="921"/>
      <c r="F37" s="921"/>
      <c r="G37" s="921"/>
      <c r="H37" s="921"/>
      <c r="I37" s="921"/>
      <c r="J37" s="921"/>
      <c r="K37" s="946"/>
      <c r="L37" s="921"/>
      <c r="M37" s="921"/>
    </row>
    <row r="38" spans="2:14">
      <c r="B38" s="944"/>
      <c r="C38" s="921"/>
      <c r="D38" s="921"/>
      <c r="E38" s="921"/>
      <c r="F38" s="921"/>
      <c r="G38" s="921"/>
      <c r="H38" s="921"/>
      <c r="I38" s="921"/>
      <c r="J38" s="921"/>
      <c r="K38" s="946"/>
      <c r="L38" s="921"/>
      <c r="M38" s="921"/>
    </row>
    <row r="39" spans="2:14">
      <c r="B39" s="944"/>
      <c r="C39" s="921"/>
      <c r="D39" s="921"/>
      <c r="E39" s="921"/>
      <c r="F39" s="921"/>
      <c r="G39" s="921"/>
      <c r="H39" s="921"/>
      <c r="I39" s="921"/>
      <c r="J39" s="921"/>
      <c r="K39" s="552" t="s">
        <v>155</v>
      </c>
      <c r="L39" s="921"/>
      <c r="M39" s="921"/>
    </row>
    <row r="40" spans="2:14">
      <c r="B40" s="944"/>
      <c r="C40" s="921"/>
      <c r="D40" s="921"/>
      <c r="E40" s="921"/>
      <c r="F40" s="921"/>
      <c r="G40" s="921"/>
      <c r="H40" s="921"/>
      <c r="I40" s="921"/>
      <c r="J40" s="921"/>
      <c r="K40" s="969" t="e">
        <f>K60+F55*2</f>
        <v>#N/A</v>
      </c>
      <c r="L40" s="921"/>
      <c r="M40" s="921"/>
    </row>
    <row r="41" spans="2:14">
      <c r="B41" s="944"/>
      <c r="C41" s="921"/>
      <c r="D41" s="921"/>
      <c r="E41" s="921"/>
      <c r="F41" s="921"/>
      <c r="G41" s="921"/>
      <c r="H41" s="921"/>
      <c r="I41" s="921"/>
      <c r="J41" s="921"/>
      <c r="K41" s="946"/>
      <c r="L41" s="921"/>
      <c r="M41" s="921"/>
      <c r="N41" s="921"/>
    </row>
    <row r="42" spans="2:14">
      <c r="B42" s="944"/>
      <c r="C42" s="921"/>
      <c r="D42" s="921"/>
      <c r="E42" s="921"/>
      <c r="F42" s="921"/>
      <c r="G42" s="921"/>
      <c r="H42" s="921"/>
      <c r="I42" s="921"/>
      <c r="J42" s="921"/>
      <c r="K42" s="946"/>
      <c r="L42" s="921"/>
      <c r="M42" s="921"/>
      <c r="N42" s="921"/>
    </row>
    <row r="43" spans="2:14">
      <c r="B43" s="944"/>
      <c r="C43" s="921"/>
      <c r="D43" s="921"/>
      <c r="E43" s="921"/>
      <c r="F43" s="921"/>
      <c r="G43" s="921"/>
      <c r="H43" s="921"/>
      <c r="I43" s="921"/>
      <c r="J43" s="921"/>
      <c r="K43" s="946"/>
      <c r="L43" s="921"/>
      <c r="M43" s="921"/>
      <c r="N43" s="921"/>
    </row>
    <row r="44" spans="2:14">
      <c r="B44" s="944"/>
      <c r="C44" s="921"/>
      <c r="D44" s="921"/>
      <c r="E44" s="921"/>
      <c r="F44" s="921"/>
      <c r="G44" s="921"/>
      <c r="H44" s="921"/>
      <c r="I44" s="921"/>
      <c r="J44" s="921"/>
      <c r="K44" s="946"/>
      <c r="L44" s="921"/>
      <c r="M44" s="921"/>
      <c r="N44" s="921"/>
    </row>
    <row r="45" spans="2:14">
      <c r="B45" s="944"/>
      <c r="C45" s="921"/>
      <c r="D45" s="921"/>
      <c r="E45" s="921"/>
      <c r="F45" s="921"/>
      <c r="G45" s="921"/>
      <c r="H45" s="921"/>
      <c r="I45" s="921"/>
      <c r="J45" s="921"/>
      <c r="K45" s="968">
        <f>K36</f>
        <v>-4.25</v>
      </c>
      <c r="L45" s="921"/>
      <c r="M45" s="921"/>
      <c r="N45" s="921"/>
    </row>
    <row r="46" spans="2:14">
      <c r="B46" s="944"/>
      <c r="C46" s="921"/>
      <c r="D46" s="921"/>
      <c r="E46" s="921"/>
      <c r="F46" s="921"/>
      <c r="G46" s="921"/>
      <c r="H46" s="921"/>
      <c r="I46" s="921"/>
      <c r="J46" s="921"/>
      <c r="K46" s="946"/>
      <c r="L46" s="921"/>
      <c r="M46" s="921"/>
      <c r="N46" s="921"/>
    </row>
    <row r="47" spans="2:14">
      <c r="B47" s="944"/>
      <c r="C47" s="921"/>
      <c r="D47" s="921"/>
      <c r="E47" s="921"/>
      <c r="F47" s="921"/>
      <c r="G47" s="921"/>
      <c r="H47" s="921"/>
      <c r="I47" s="921"/>
      <c r="J47" s="921"/>
      <c r="K47" s="946"/>
      <c r="L47" s="921"/>
      <c r="M47" s="921"/>
      <c r="N47" s="921"/>
    </row>
    <row r="48" spans="2:14">
      <c r="B48" s="947" t="s">
        <v>319</v>
      </c>
      <c r="C48" s="921"/>
      <c r="D48" s="921"/>
      <c r="E48" s="921"/>
      <c r="F48" s="921"/>
      <c r="G48" s="921"/>
      <c r="H48" s="921"/>
      <c r="I48" s="921"/>
      <c r="J48" s="921"/>
      <c r="K48" s="946"/>
      <c r="L48" s="921"/>
      <c r="M48" s="921"/>
      <c r="N48" s="921"/>
    </row>
    <row r="49" spans="2:14">
      <c r="B49" s="948" t="s">
        <v>317</v>
      </c>
      <c r="C49" s="921"/>
      <c r="D49" s="921"/>
      <c r="E49" s="921"/>
      <c r="F49" s="949" t="s">
        <v>318</v>
      </c>
      <c r="G49" s="921"/>
      <c r="H49" s="921"/>
      <c r="I49" s="921"/>
      <c r="J49" s="921"/>
      <c r="K49" s="946"/>
      <c r="L49" s="921"/>
      <c r="M49" s="921"/>
      <c r="N49" s="921"/>
    </row>
    <row r="50" spans="2:14">
      <c r="B50" s="950"/>
      <c r="C50" s="921"/>
      <c r="D50" s="555" t="e">
        <f>设计主界面!E39/(1+设计主界面!O19)</f>
        <v>#N/A</v>
      </c>
      <c r="E50" s="921"/>
      <c r="F50" s="921"/>
      <c r="G50" s="921"/>
      <c r="H50" s="921"/>
      <c r="I50" s="921"/>
      <c r="J50" s="921"/>
      <c r="K50" s="946"/>
      <c r="L50" s="921"/>
      <c r="M50" s="921"/>
      <c r="N50" s="921"/>
    </row>
    <row r="51" spans="2:14">
      <c r="B51" s="554">
        <f>设计主界面!G39</f>
        <v>0</v>
      </c>
      <c r="C51" s="921"/>
      <c r="D51" s="921"/>
      <c r="E51" s="921"/>
      <c r="F51" s="921"/>
      <c r="G51" s="921"/>
      <c r="H51" s="921"/>
      <c r="I51" s="921"/>
      <c r="J51" s="921"/>
      <c r="K51" s="946"/>
      <c r="L51" s="921"/>
      <c r="M51" s="921"/>
      <c r="N51" s="921"/>
    </row>
    <row r="52" spans="2:14">
      <c r="B52" s="944"/>
      <c r="C52" s="921"/>
      <c r="D52" s="921"/>
      <c r="E52" s="921"/>
      <c r="F52" s="921"/>
      <c r="G52" s="921"/>
      <c r="H52" s="921"/>
      <c r="I52" s="921"/>
      <c r="J52" s="921"/>
      <c r="K52" s="946"/>
      <c r="L52" s="921"/>
      <c r="M52" s="921"/>
      <c r="N52" s="921"/>
    </row>
    <row r="53" spans="2:14">
      <c r="B53" s="944"/>
      <c r="C53" s="921"/>
      <c r="D53" s="921"/>
      <c r="E53" s="921"/>
      <c r="F53" s="921"/>
      <c r="G53" s="921"/>
      <c r="H53" s="921"/>
      <c r="I53" s="921"/>
      <c r="J53" s="921"/>
      <c r="K53" s="946"/>
      <c r="L53" s="921"/>
      <c r="M53" s="921"/>
      <c r="N53" s="921"/>
    </row>
    <row r="54" spans="2:14">
      <c r="B54" s="944"/>
      <c r="C54" s="921"/>
      <c r="D54" s="921"/>
      <c r="E54" s="921"/>
      <c r="F54" s="921"/>
      <c r="G54" s="921"/>
      <c r="H54" s="921"/>
      <c r="I54" s="921"/>
      <c r="J54" s="921"/>
      <c r="K54" s="946"/>
      <c r="L54" s="921"/>
      <c r="M54" s="921"/>
      <c r="N54" s="921"/>
    </row>
    <row r="55" spans="2:14">
      <c r="B55" s="223" t="s">
        <v>202</v>
      </c>
      <c r="C55" s="921"/>
      <c r="D55" s="921"/>
      <c r="E55" s="921"/>
      <c r="F55" s="951">
        <f>O16</f>
        <v>2</v>
      </c>
      <c r="G55" s="921"/>
      <c r="H55" s="921"/>
      <c r="I55" s="921"/>
      <c r="J55" s="921"/>
      <c r="K55" s="946"/>
      <c r="L55" s="921"/>
      <c r="M55" s="921"/>
      <c r="N55" s="921"/>
    </row>
    <row r="56" spans="2:14">
      <c r="B56" s="944"/>
      <c r="C56" s="921"/>
      <c r="D56" s="921"/>
      <c r="E56" s="921"/>
      <c r="F56" s="921"/>
      <c r="G56" s="921"/>
      <c r="H56" s="921"/>
      <c r="I56" s="921"/>
      <c r="J56" s="921"/>
      <c r="K56" s="970">
        <f>K68</f>
        <v>-2.25</v>
      </c>
      <c r="L56" s="921"/>
      <c r="M56" s="921"/>
      <c r="N56" s="921"/>
    </row>
    <row r="57" spans="2:14">
      <c r="C57" s="921"/>
      <c r="D57" s="921"/>
      <c r="E57" s="921"/>
      <c r="F57" s="921"/>
      <c r="G57" s="921"/>
      <c r="H57" s="921"/>
      <c r="I57" s="921"/>
      <c r="J57" s="921"/>
      <c r="K57" s="952"/>
      <c r="L57" s="921"/>
      <c r="M57" s="921"/>
      <c r="N57" s="921"/>
    </row>
    <row r="58" spans="2:14">
      <c r="K58" s="548"/>
      <c r="N58" s="921"/>
    </row>
    <row r="59" spans="2:14">
      <c r="K59" s="548"/>
      <c r="N59" s="921"/>
    </row>
    <row r="60" spans="2:14">
      <c r="K60" s="971" t="e">
        <f>K70*2</f>
        <v>#N/A</v>
      </c>
      <c r="N60" s="921"/>
    </row>
    <row r="61" spans="2:14">
      <c r="K61" s="549"/>
      <c r="N61" s="921"/>
    </row>
    <row r="62" spans="2:14">
      <c r="K62" s="548"/>
      <c r="N62" s="921"/>
    </row>
    <row r="63" spans="2:14">
      <c r="K63" s="548"/>
      <c r="N63" s="921"/>
    </row>
    <row r="64" spans="2:14">
      <c r="K64" s="548"/>
    </row>
    <row r="65" spans="2:17">
      <c r="K65" s="548"/>
    </row>
    <row r="66" spans="2:17">
      <c r="B66" s="223" t="s">
        <v>203</v>
      </c>
      <c r="C66" s="921"/>
      <c r="D66" s="921"/>
      <c r="E66" s="921"/>
      <c r="F66" s="921"/>
      <c r="G66" s="921"/>
      <c r="H66" s="921"/>
      <c r="I66" s="921"/>
      <c r="J66" s="921"/>
      <c r="K66" s="946"/>
      <c r="L66" s="921"/>
      <c r="M66" s="921"/>
    </row>
    <row r="67" spans="2:17">
      <c r="K67" s="552"/>
    </row>
    <row r="68" spans="2:17">
      <c r="K68" s="970">
        <f>设计主界面!G34+L12</f>
        <v>-2.25</v>
      </c>
    </row>
    <row r="69" spans="2:17">
      <c r="K69" s="552"/>
    </row>
    <row r="70" spans="2:17">
      <c r="K70" s="972" t="e">
        <f>O24</f>
        <v>#N/A</v>
      </c>
    </row>
    <row r="71" spans="2:17">
      <c r="K71" s="548"/>
    </row>
    <row r="72" spans="2:17">
      <c r="K72" s="548"/>
      <c r="N72" s="921"/>
    </row>
    <row r="73" spans="2:17">
      <c r="K73" s="548"/>
    </row>
    <row r="74" spans="2:17">
      <c r="K74" s="548"/>
    </row>
    <row r="75" spans="2:17">
      <c r="K75" s="548"/>
    </row>
    <row r="76" spans="2:17" ht="19.5" thickBot="1">
      <c r="B76" s="262" t="s">
        <v>200</v>
      </c>
      <c r="C76" s="259"/>
      <c r="D76" s="260"/>
      <c r="E76" s="261"/>
      <c r="F76" s="260"/>
      <c r="G76" s="260"/>
      <c r="H76" s="260"/>
      <c r="I76" s="260"/>
      <c r="J76" s="260"/>
      <c r="K76" s="550"/>
      <c r="L76" s="260"/>
      <c r="M76" s="260"/>
      <c r="N76" s="260"/>
      <c r="O76" s="260"/>
      <c r="P76" s="260"/>
      <c r="Q76" s="260"/>
    </row>
    <row r="77" spans="2:17" ht="16.5" thickTop="1">
      <c r="B77" s="223" t="s">
        <v>204</v>
      </c>
      <c r="K77" s="548"/>
    </row>
    <row r="78" spans="2:17">
      <c r="K78" s="552" t="s">
        <v>816</v>
      </c>
      <c r="L78" s="973" t="e">
        <f>K80+K84+K90+L88*2</f>
        <v>#N/A</v>
      </c>
      <c r="N78" s="263"/>
    </row>
    <row r="79" spans="2:17">
      <c r="K79" s="551"/>
    </row>
    <row r="80" spans="2:17">
      <c r="K80" s="974">
        <f>K101-J110</f>
        <v>-0.5</v>
      </c>
    </row>
    <row r="81" spans="2:12">
      <c r="K81" s="548"/>
    </row>
    <row r="83" spans="2:12">
      <c r="K83" s="552" t="s">
        <v>155</v>
      </c>
    </row>
    <row r="84" spans="2:12">
      <c r="K84" s="969" t="e">
        <f>设计主界面!D40*2</f>
        <v>#N/A</v>
      </c>
    </row>
    <row r="85" spans="2:12">
      <c r="K85" s="548"/>
    </row>
    <row r="87" spans="2:12">
      <c r="K87" s="984" t="s">
        <v>815</v>
      </c>
      <c r="L87" s="975">
        <f>O13</f>
        <v>0.25</v>
      </c>
    </row>
    <row r="88" spans="2:12">
      <c r="K88" s="984" t="s">
        <v>899</v>
      </c>
      <c r="L88" s="976">
        <f>O20</f>
        <v>-3.25</v>
      </c>
    </row>
    <row r="89" spans="2:12">
      <c r="K89" s="548"/>
      <c r="L89" s="548"/>
    </row>
    <row r="90" spans="2:12">
      <c r="K90" s="974">
        <f>K80</f>
        <v>-0.5</v>
      </c>
    </row>
    <row r="91" spans="2:12">
      <c r="K91" s="548"/>
    </row>
    <row r="92" spans="2:12">
      <c r="B92" s="947" t="s">
        <v>319</v>
      </c>
      <c r="K92" s="548"/>
    </row>
    <row r="93" spans="2:12">
      <c r="B93" s="950" t="s">
        <v>317</v>
      </c>
      <c r="G93" s="948" t="s">
        <v>318</v>
      </c>
      <c r="K93" s="548"/>
    </row>
    <row r="94" spans="2:12">
      <c r="E94" s="977" t="e">
        <f>设计主界面!E40/(1+设计主界面!O20)</f>
        <v>#N/A</v>
      </c>
      <c r="K94" s="548"/>
    </row>
    <row r="95" spans="2:12">
      <c r="G95" s="556" t="e">
        <f>设计主界面!G40/(1+设计主界面!O20)</f>
        <v>#N/A</v>
      </c>
      <c r="K95" s="548"/>
    </row>
    <row r="96" spans="2:12">
      <c r="K96" s="548"/>
    </row>
    <row r="97" spans="2:12">
      <c r="K97" s="548"/>
    </row>
    <row r="98" spans="2:12">
      <c r="K98" s="548"/>
    </row>
    <row r="99" spans="2:12">
      <c r="B99" s="223" t="s">
        <v>205</v>
      </c>
      <c r="K99" s="548"/>
    </row>
    <row r="100" spans="2:12">
      <c r="K100" s="548"/>
    </row>
    <row r="101" spans="2:12">
      <c r="K101" s="978">
        <f>K113</f>
        <v>-6.75</v>
      </c>
    </row>
    <row r="102" spans="2:12">
      <c r="K102" s="552"/>
    </row>
    <row r="103" spans="2:12">
      <c r="K103" s="979"/>
    </row>
    <row r="104" spans="2:12">
      <c r="K104" s="552"/>
    </row>
    <row r="105" spans="2:12">
      <c r="K105" s="971" t="e">
        <f>K116*2</f>
        <v>#N/A</v>
      </c>
    </row>
    <row r="106" spans="2:12">
      <c r="K106" s="548"/>
    </row>
    <row r="107" spans="2:12">
      <c r="K107" s="953"/>
    </row>
    <row r="108" spans="2:12">
      <c r="K108" s="548"/>
    </row>
    <row r="109" spans="2:12">
      <c r="K109" s="548"/>
    </row>
    <row r="110" spans="2:12">
      <c r="I110" s="264" t="s">
        <v>156</v>
      </c>
      <c r="J110" s="980">
        <f>L119</f>
        <v>-6.25</v>
      </c>
      <c r="K110" s="968">
        <f>J14+J13</f>
        <v>3</v>
      </c>
    </row>
    <row r="111" spans="2:12">
      <c r="B111" s="223" t="s">
        <v>206</v>
      </c>
      <c r="K111" s="548"/>
    </row>
    <row r="112" spans="2:12">
      <c r="K112" s="552"/>
      <c r="L112" s="241"/>
    </row>
    <row r="113" spans="11:12">
      <c r="K113" s="978">
        <f>设计主界面!G34+J12</f>
        <v>-6.75</v>
      </c>
      <c r="L113" s="241"/>
    </row>
    <row r="114" spans="11:12">
      <c r="K114" s="552"/>
      <c r="L114" s="241"/>
    </row>
    <row r="115" spans="11:12">
      <c r="K115" s="552"/>
      <c r="L115" s="241"/>
    </row>
    <row r="116" spans="11:12">
      <c r="K116" s="970" t="e">
        <f>O23</f>
        <v>#N/A</v>
      </c>
      <c r="L116" s="241"/>
    </row>
    <row r="117" spans="11:12">
      <c r="K117" s="552"/>
      <c r="L117" s="241"/>
    </row>
    <row r="118" spans="11:12">
      <c r="K118" s="553" t="s">
        <v>894</v>
      </c>
      <c r="L118" s="981">
        <f>O20</f>
        <v>-3.25</v>
      </c>
    </row>
    <row r="119" spans="11:12">
      <c r="K119" s="553" t="s">
        <v>895</v>
      </c>
      <c r="L119" s="981">
        <f>O21</f>
        <v>-6.25</v>
      </c>
    </row>
    <row r="120" spans="11:12">
      <c r="K120" s="548"/>
    </row>
  </sheetData>
  <sheetProtection algorithmName="SHA-512" hashValue="HZxFRVfRY4ceBE1VpXkAyLvFEcS4vjeYsNpZ3nEW84uWFPc9CuOVmIAc9OJVUvN2ILKSlVPyZOwlvl/osXMETg==" saltValue="KWFMHjuyIgnxaONYVqPlJg==" spinCount="100000" sheet="1" objects="1" scenarios="1" formatCells="0" formatColumns="0" formatRows="0" insertColumns="0" insertRows="0" insertHyperlinks="0" deleteColumns="0" deleteRows="0" sort="0" autoFilter="0" pivotTables="0"/>
  <mergeCells count="4">
    <mergeCell ref="A12:B12"/>
    <mergeCell ref="J26:J27"/>
    <mergeCell ref="O10:P10"/>
    <mergeCell ref="L12:L13"/>
  </mergeCells>
  <phoneticPr fontId="5" type="noConversion"/>
  <conditionalFormatting sqref="Q17">
    <cfRule type="cellIs" dxfId="19" priority="10" operator="equal">
      <formula>"not ok"</formula>
    </cfRule>
    <cfRule type="cellIs" dxfId="18" priority="11" operator="equal">
      <formula>"ok"</formula>
    </cfRule>
    <cfRule type="cellIs" dxfId="17" priority="12" operator="equal">
      <formula>"ok"</formula>
    </cfRule>
  </conditionalFormatting>
  <conditionalFormatting sqref="Q19">
    <cfRule type="cellIs" dxfId="16" priority="8" operator="equal">
      <formula>"not ok"</formula>
    </cfRule>
    <cfRule type="cellIs" dxfId="15" priority="9" operator="equal">
      <formula>"ok"</formula>
    </cfRule>
  </conditionalFormatting>
  <conditionalFormatting sqref="Q20">
    <cfRule type="cellIs" dxfId="14" priority="6" operator="equal">
      <formula>"ok"</formula>
    </cfRule>
    <cfRule type="cellIs" dxfId="13" priority="7" operator="equal">
      <formula>"not ok"</formula>
    </cfRule>
  </conditionalFormatting>
  <conditionalFormatting sqref="Q16">
    <cfRule type="cellIs" dxfId="12" priority="3" operator="equal">
      <formula>"not ok"</formula>
    </cfRule>
    <cfRule type="cellIs" dxfId="11" priority="4" operator="equal">
      <formula>"ok"</formula>
    </cfRule>
    <cfRule type="cellIs" dxfId="10" priority="5" operator="equal">
      <formula>"ok"</formula>
    </cfRule>
  </conditionalFormatting>
  <conditionalFormatting sqref="Q18">
    <cfRule type="cellIs" dxfId="9" priority="1" operator="equal">
      <formula>"not ok"</formula>
    </cfRule>
    <cfRule type="cellIs" dxfId="8" priority="2" operator="equal">
      <formula>"ok"</formula>
    </cfRule>
  </conditionalFormatting>
  <hyperlinks>
    <hyperlink ref="M3" location="设计主界面!A1" display="返回"/>
  </hyperlinks>
  <pageMargins left="0.7" right="0.7" top="0.75" bottom="0.75" header="0.3" footer="0.3"/>
  <pageSetup paperSize="9" orientation="portrait" r:id="rId1"/>
  <drawing r:id="rId2"/>
  <legacyDrawing r:id="rId3"/>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2:XFD51"/>
  <sheetViews>
    <sheetView showGridLines="0" tabSelected="1" topLeftCell="A4" zoomScaleNormal="100" workbookViewId="0">
      <selection activeCell="F10" sqref="F10"/>
    </sheetView>
  </sheetViews>
  <sheetFormatPr defaultRowHeight="15.75"/>
  <cols>
    <col min="1" max="1" width="2.5" style="154" customWidth="1" collapsed="1"/>
    <col min="2" max="2" width="8.875" style="154" collapsed="1"/>
    <col min="3" max="3" width="18.375" style="154" customWidth="1" collapsed="1"/>
    <col min="4" max="4" width="18.125" style="154" customWidth="1" collapsed="1"/>
    <col min="5" max="5" width="11.125" style="154" customWidth="1" collapsed="1"/>
    <col min="6" max="6" width="11.5" style="154" customWidth="1" collapsed="1"/>
    <col min="7" max="7" width="10.875" style="154" customWidth="1" collapsed="1"/>
    <col min="8" max="8" width="7.75" style="154" customWidth="1" collapsed="1"/>
    <col min="9" max="9" width="10.75" style="154" customWidth="1" collapsed="1"/>
    <col min="10" max="10" width="11.75" style="154" customWidth="1" collapsed="1"/>
    <col min="11" max="11" width="7.875" style="154" customWidth="1" collapsed="1"/>
    <col min="12" max="12" width="5" style="154" customWidth="1" collapsed="1"/>
    <col min="13" max="13" width="12.5" style="154" customWidth="1" collapsed="1"/>
    <col min="14" max="14" width="13" style="154" bestFit="1" customWidth="1" collapsed="1"/>
    <col min="15" max="15" width="13" style="154" customWidth="1" collapsed="1"/>
    <col min="16" max="16" width="12.25" style="154" customWidth="1" collapsed="1"/>
    <col min="17" max="17" width="10.5" style="154" customWidth="1" collapsed="1"/>
    <col min="18" max="18" width="11.5" style="154" customWidth="1" collapsed="1"/>
    <col min="19" max="19" width="10.375" style="154" bestFit="1" customWidth="1" collapsed="1"/>
    <col min="20" max="20" width="8.875" style="154" collapsed="1"/>
    <col min="21" max="21" width="14.75" style="154" customWidth="1" collapsed="1"/>
    <col min="22" max="260" width="8.875" style="154" collapsed="1"/>
    <col min="261" max="261" width="4.5" style="154" customWidth="1" collapsed="1"/>
    <col min="262" max="262" width="8.875" style="154" collapsed="1"/>
    <col min="263" max="263" width="24.75" style="154" customWidth="1" collapsed="1"/>
    <col min="264" max="264" width="15.75" style="154" customWidth="1" collapsed="1"/>
    <col min="265" max="267" width="12.75" style="154" bestFit="1" customWidth="1" collapsed="1"/>
    <col min="268" max="270" width="8.875" style="154" collapsed="1"/>
    <col min="271" max="271" width="13" style="154" bestFit="1" customWidth="1" collapsed="1"/>
    <col min="272" max="516" width="8.875" style="154" collapsed="1"/>
    <col min="517" max="517" width="4.5" style="154" customWidth="1" collapsed="1"/>
    <col min="518" max="518" width="8.875" style="154" collapsed="1"/>
    <col min="519" max="519" width="24.75" style="154" customWidth="1" collapsed="1"/>
    <col min="520" max="520" width="15.75" style="154" customWidth="1" collapsed="1"/>
    <col min="521" max="523" width="12.75" style="154" bestFit="1" customWidth="1" collapsed="1"/>
    <col min="524" max="526" width="8.875" style="154" collapsed="1"/>
    <col min="527" max="527" width="13" style="154" bestFit="1" customWidth="1" collapsed="1"/>
    <col min="528" max="772" width="8.875" style="154" collapsed="1"/>
    <col min="773" max="773" width="4.5" style="154" customWidth="1" collapsed="1"/>
    <col min="774" max="774" width="8.875" style="154" collapsed="1"/>
    <col min="775" max="775" width="24.75" style="154" customWidth="1" collapsed="1"/>
    <col min="776" max="776" width="15.75" style="154" customWidth="1" collapsed="1"/>
    <col min="777" max="779" width="12.75" style="154" bestFit="1" customWidth="1" collapsed="1"/>
    <col min="780" max="782" width="8.875" style="154" collapsed="1"/>
    <col min="783" max="783" width="13" style="154" bestFit="1" customWidth="1" collapsed="1"/>
    <col min="784" max="1028" width="8.875" style="154" collapsed="1"/>
    <col min="1029" max="1029" width="4.5" style="154" customWidth="1" collapsed="1"/>
    <col min="1030" max="1030" width="8.875" style="154" collapsed="1"/>
    <col min="1031" max="1031" width="24.75" style="154" customWidth="1" collapsed="1"/>
    <col min="1032" max="1032" width="15.75" style="154" customWidth="1" collapsed="1"/>
    <col min="1033" max="1035" width="12.75" style="154" bestFit="1" customWidth="1" collapsed="1"/>
    <col min="1036" max="1038" width="8.875" style="154" collapsed="1"/>
    <col min="1039" max="1039" width="13" style="154" bestFit="1" customWidth="1" collapsed="1"/>
    <col min="1040" max="1284" width="8.875" style="154" collapsed="1"/>
    <col min="1285" max="1285" width="4.5" style="154" customWidth="1" collapsed="1"/>
    <col min="1286" max="1286" width="8.875" style="154" collapsed="1"/>
    <col min="1287" max="1287" width="24.75" style="154" customWidth="1" collapsed="1"/>
    <col min="1288" max="1288" width="15.75" style="154" customWidth="1" collapsed="1"/>
    <col min="1289" max="1291" width="12.75" style="154" bestFit="1" customWidth="1" collapsed="1"/>
    <col min="1292" max="1294" width="8.875" style="154" collapsed="1"/>
    <col min="1295" max="1295" width="13" style="154" bestFit="1" customWidth="1" collapsed="1"/>
    <col min="1296" max="1540" width="8.875" style="154" collapsed="1"/>
    <col min="1541" max="1541" width="4.5" style="154" customWidth="1" collapsed="1"/>
    <col min="1542" max="1542" width="8.875" style="154" collapsed="1"/>
    <col min="1543" max="1543" width="24.75" style="154" customWidth="1" collapsed="1"/>
    <col min="1544" max="1544" width="15.75" style="154" customWidth="1" collapsed="1"/>
    <col min="1545" max="1547" width="12.75" style="154" bestFit="1" customWidth="1" collapsed="1"/>
    <col min="1548" max="1550" width="8.875" style="154" collapsed="1"/>
    <col min="1551" max="1551" width="13" style="154" bestFit="1" customWidth="1" collapsed="1"/>
    <col min="1552" max="1796" width="8.875" style="154" collapsed="1"/>
    <col min="1797" max="1797" width="4.5" style="154" customWidth="1" collapsed="1"/>
    <col min="1798" max="1798" width="8.875" style="154" collapsed="1"/>
    <col min="1799" max="1799" width="24.75" style="154" customWidth="1" collapsed="1"/>
    <col min="1800" max="1800" width="15.75" style="154" customWidth="1" collapsed="1"/>
    <col min="1801" max="1803" width="12.75" style="154" bestFit="1" customWidth="1" collapsed="1"/>
    <col min="1804" max="1806" width="8.875" style="154" collapsed="1"/>
    <col min="1807" max="1807" width="13" style="154" bestFit="1" customWidth="1" collapsed="1"/>
    <col min="1808" max="2052" width="8.875" style="154" collapsed="1"/>
    <col min="2053" max="2053" width="4.5" style="154" customWidth="1" collapsed="1"/>
    <col min="2054" max="2054" width="8.875" style="154" collapsed="1"/>
    <col min="2055" max="2055" width="24.75" style="154" customWidth="1" collapsed="1"/>
    <col min="2056" max="2056" width="15.75" style="154" customWidth="1" collapsed="1"/>
    <col min="2057" max="2059" width="12.75" style="154" bestFit="1" customWidth="1" collapsed="1"/>
    <col min="2060" max="2062" width="8.875" style="154" collapsed="1"/>
    <col min="2063" max="2063" width="13" style="154" bestFit="1" customWidth="1" collapsed="1"/>
    <col min="2064" max="2308" width="8.875" style="154" collapsed="1"/>
    <col min="2309" max="2309" width="4.5" style="154" customWidth="1" collapsed="1"/>
    <col min="2310" max="2310" width="8.875" style="154" collapsed="1"/>
    <col min="2311" max="2311" width="24.75" style="154" customWidth="1" collapsed="1"/>
    <col min="2312" max="2312" width="15.75" style="154" customWidth="1" collapsed="1"/>
    <col min="2313" max="2315" width="12.75" style="154" bestFit="1" customWidth="1" collapsed="1"/>
    <col min="2316" max="2318" width="8.875" style="154" collapsed="1"/>
    <col min="2319" max="2319" width="13" style="154" bestFit="1" customWidth="1" collapsed="1"/>
    <col min="2320" max="2564" width="8.875" style="154" collapsed="1"/>
    <col min="2565" max="2565" width="4.5" style="154" customWidth="1" collapsed="1"/>
    <col min="2566" max="2566" width="8.875" style="154" collapsed="1"/>
    <col min="2567" max="2567" width="24.75" style="154" customWidth="1" collapsed="1"/>
    <col min="2568" max="2568" width="15.75" style="154" customWidth="1" collapsed="1"/>
    <col min="2569" max="2571" width="12.75" style="154" bestFit="1" customWidth="1" collapsed="1"/>
    <col min="2572" max="2574" width="8.875" style="154" collapsed="1"/>
    <col min="2575" max="2575" width="13" style="154" bestFit="1" customWidth="1" collapsed="1"/>
    <col min="2576" max="2820" width="8.875" style="154" collapsed="1"/>
    <col min="2821" max="2821" width="4.5" style="154" customWidth="1" collapsed="1"/>
    <col min="2822" max="2822" width="8.875" style="154" collapsed="1"/>
    <col min="2823" max="2823" width="24.75" style="154" customWidth="1" collapsed="1"/>
    <col min="2824" max="2824" width="15.75" style="154" customWidth="1" collapsed="1"/>
    <col min="2825" max="2827" width="12.75" style="154" bestFit="1" customWidth="1" collapsed="1"/>
    <col min="2828" max="2830" width="8.875" style="154" collapsed="1"/>
    <col min="2831" max="2831" width="13" style="154" bestFit="1" customWidth="1" collapsed="1"/>
    <col min="2832" max="3076" width="8.875" style="154" collapsed="1"/>
    <col min="3077" max="3077" width="4.5" style="154" customWidth="1" collapsed="1"/>
    <col min="3078" max="3078" width="8.875" style="154" collapsed="1"/>
    <col min="3079" max="3079" width="24.75" style="154" customWidth="1" collapsed="1"/>
    <col min="3080" max="3080" width="15.75" style="154" customWidth="1" collapsed="1"/>
    <col min="3081" max="3083" width="12.75" style="154" bestFit="1" customWidth="1" collapsed="1"/>
    <col min="3084" max="3086" width="8.875" style="154" collapsed="1"/>
    <col min="3087" max="3087" width="13" style="154" bestFit="1" customWidth="1" collapsed="1"/>
    <col min="3088" max="3332" width="8.875" style="154" collapsed="1"/>
    <col min="3333" max="3333" width="4.5" style="154" customWidth="1" collapsed="1"/>
    <col min="3334" max="3334" width="8.875" style="154" collapsed="1"/>
    <col min="3335" max="3335" width="24.75" style="154" customWidth="1" collapsed="1"/>
    <col min="3336" max="3336" width="15.75" style="154" customWidth="1" collapsed="1"/>
    <col min="3337" max="3339" width="12.75" style="154" bestFit="1" customWidth="1" collapsed="1"/>
    <col min="3340" max="3342" width="8.875" style="154" collapsed="1"/>
    <col min="3343" max="3343" width="13" style="154" bestFit="1" customWidth="1" collapsed="1"/>
    <col min="3344" max="3588" width="8.875" style="154" collapsed="1"/>
    <col min="3589" max="3589" width="4.5" style="154" customWidth="1" collapsed="1"/>
    <col min="3590" max="3590" width="8.875" style="154" collapsed="1"/>
    <col min="3591" max="3591" width="24.75" style="154" customWidth="1" collapsed="1"/>
    <col min="3592" max="3592" width="15.75" style="154" customWidth="1" collapsed="1"/>
    <col min="3593" max="3595" width="12.75" style="154" bestFit="1" customWidth="1" collapsed="1"/>
    <col min="3596" max="3598" width="8.875" style="154" collapsed="1"/>
    <col min="3599" max="3599" width="13" style="154" bestFit="1" customWidth="1" collapsed="1"/>
    <col min="3600" max="3844" width="8.875" style="154" collapsed="1"/>
    <col min="3845" max="3845" width="4.5" style="154" customWidth="1" collapsed="1"/>
    <col min="3846" max="3846" width="8.875" style="154" collapsed="1"/>
    <col min="3847" max="3847" width="24.75" style="154" customWidth="1" collapsed="1"/>
    <col min="3848" max="3848" width="15.75" style="154" customWidth="1" collapsed="1"/>
    <col min="3849" max="3851" width="12.75" style="154" bestFit="1" customWidth="1" collapsed="1"/>
    <col min="3852" max="3854" width="8.875" style="154" collapsed="1"/>
    <col min="3855" max="3855" width="13" style="154" bestFit="1" customWidth="1" collapsed="1"/>
    <col min="3856" max="4100" width="8.875" style="154" collapsed="1"/>
    <col min="4101" max="4101" width="4.5" style="154" customWidth="1" collapsed="1"/>
    <col min="4102" max="4102" width="8.875" style="154" collapsed="1"/>
    <col min="4103" max="4103" width="24.75" style="154" customWidth="1" collapsed="1"/>
    <col min="4104" max="4104" width="15.75" style="154" customWidth="1" collapsed="1"/>
    <col min="4105" max="4107" width="12.75" style="154" bestFit="1" customWidth="1" collapsed="1"/>
    <col min="4108" max="4110" width="8.875" style="154" collapsed="1"/>
    <col min="4111" max="4111" width="13" style="154" bestFit="1" customWidth="1" collapsed="1"/>
    <col min="4112" max="4356" width="8.875" style="154" collapsed="1"/>
    <col min="4357" max="4357" width="4.5" style="154" customWidth="1" collapsed="1"/>
    <col min="4358" max="4358" width="8.875" style="154" collapsed="1"/>
    <col min="4359" max="4359" width="24.75" style="154" customWidth="1" collapsed="1"/>
    <col min="4360" max="4360" width="15.75" style="154" customWidth="1" collapsed="1"/>
    <col min="4361" max="4363" width="12.75" style="154" bestFit="1" customWidth="1" collapsed="1"/>
    <col min="4364" max="4366" width="8.875" style="154" collapsed="1"/>
    <col min="4367" max="4367" width="13" style="154" bestFit="1" customWidth="1" collapsed="1"/>
    <col min="4368" max="4612" width="8.875" style="154" collapsed="1"/>
    <col min="4613" max="4613" width="4.5" style="154" customWidth="1" collapsed="1"/>
    <col min="4614" max="4614" width="8.875" style="154" collapsed="1"/>
    <col min="4615" max="4615" width="24.75" style="154" customWidth="1" collapsed="1"/>
    <col min="4616" max="4616" width="15.75" style="154" customWidth="1" collapsed="1"/>
    <col min="4617" max="4619" width="12.75" style="154" bestFit="1" customWidth="1" collapsed="1"/>
    <col min="4620" max="4622" width="8.875" style="154" collapsed="1"/>
    <col min="4623" max="4623" width="13" style="154" bestFit="1" customWidth="1" collapsed="1"/>
    <col min="4624" max="4868" width="8.875" style="154" collapsed="1"/>
    <col min="4869" max="4869" width="4.5" style="154" customWidth="1" collapsed="1"/>
    <col min="4870" max="4870" width="8.875" style="154" collapsed="1"/>
    <col min="4871" max="4871" width="24.75" style="154" customWidth="1" collapsed="1"/>
    <col min="4872" max="4872" width="15.75" style="154" customWidth="1" collapsed="1"/>
    <col min="4873" max="4875" width="12.75" style="154" bestFit="1" customWidth="1" collapsed="1"/>
    <col min="4876" max="4878" width="8.875" style="154" collapsed="1"/>
    <col min="4879" max="4879" width="13" style="154" bestFit="1" customWidth="1" collapsed="1"/>
    <col min="4880" max="5124" width="8.875" style="154" collapsed="1"/>
    <col min="5125" max="5125" width="4.5" style="154" customWidth="1" collapsed="1"/>
    <col min="5126" max="5126" width="8.875" style="154" collapsed="1"/>
    <col min="5127" max="5127" width="24.75" style="154" customWidth="1" collapsed="1"/>
    <col min="5128" max="5128" width="15.75" style="154" customWidth="1" collapsed="1"/>
    <col min="5129" max="5131" width="12.75" style="154" bestFit="1" customWidth="1" collapsed="1"/>
    <col min="5132" max="5134" width="8.875" style="154" collapsed="1"/>
    <col min="5135" max="5135" width="13" style="154" bestFit="1" customWidth="1" collapsed="1"/>
    <col min="5136" max="5380" width="8.875" style="154" collapsed="1"/>
    <col min="5381" max="5381" width="4.5" style="154" customWidth="1" collapsed="1"/>
    <col min="5382" max="5382" width="8.875" style="154" collapsed="1"/>
    <col min="5383" max="5383" width="24.75" style="154" customWidth="1" collapsed="1"/>
    <col min="5384" max="5384" width="15.75" style="154" customWidth="1" collapsed="1"/>
    <col min="5385" max="5387" width="12.75" style="154" bestFit="1" customWidth="1" collapsed="1"/>
    <col min="5388" max="5390" width="8.875" style="154" collapsed="1"/>
    <col min="5391" max="5391" width="13" style="154" bestFit="1" customWidth="1" collapsed="1"/>
    <col min="5392" max="5636" width="8.875" style="154" collapsed="1"/>
    <col min="5637" max="5637" width="4.5" style="154" customWidth="1" collapsed="1"/>
    <col min="5638" max="5638" width="8.875" style="154" collapsed="1"/>
    <col min="5639" max="5639" width="24.75" style="154" customWidth="1" collapsed="1"/>
    <col min="5640" max="5640" width="15.75" style="154" customWidth="1" collapsed="1"/>
    <col min="5641" max="5643" width="12.75" style="154" bestFit="1" customWidth="1" collapsed="1"/>
    <col min="5644" max="5646" width="8.875" style="154" collapsed="1"/>
    <col min="5647" max="5647" width="13" style="154" bestFit="1" customWidth="1" collapsed="1"/>
    <col min="5648" max="5892" width="8.875" style="154" collapsed="1"/>
    <col min="5893" max="5893" width="4.5" style="154" customWidth="1" collapsed="1"/>
    <col min="5894" max="5894" width="8.875" style="154" collapsed="1"/>
    <col min="5895" max="5895" width="24.75" style="154" customWidth="1" collapsed="1"/>
    <col min="5896" max="5896" width="15.75" style="154" customWidth="1" collapsed="1"/>
    <col min="5897" max="5899" width="12.75" style="154" bestFit="1" customWidth="1" collapsed="1"/>
    <col min="5900" max="5902" width="8.875" style="154" collapsed="1"/>
    <col min="5903" max="5903" width="13" style="154" bestFit="1" customWidth="1" collapsed="1"/>
    <col min="5904" max="6148" width="8.875" style="154" collapsed="1"/>
    <col min="6149" max="6149" width="4.5" style="154" customWidth="1" collapsed="1"/>
    <col min="6150" max="6150" width="8.875" style="154" collapsed="1"/>
    <col min="6151" max="6151" width="24.75" style="154" customWidth="1" collapsed="1"/>
    <col min="6152" max="6152" width="15.75" style="154" customWidth="1" collapsed="1"/>
    <col min="6153" max="6155" width="12.75" style="154" bestFit="1" customWidth="1" collapsed="1"/>
    <col min="6156" max="6158" width="8.875" style="154" collapsed="1"/>
    <col min="6159" max="6159" width="13" style="154" bestFit="1" customWidth="1" collapsed="1"/>
    <col min="6160" max="6404" width="8.875" style="154" collapsed="1"/>
    <col min="6405" max="6405" width="4.5" style="154" customWidth="1" collapsed="1"/>
    <col min="6406" max="6406" width="8.875" style="154" collapsed="1"/>
    <col min="6407" max="6407" width="24.75" style="154" customWidth="1" collapsed="1"/>
    <col min="6408" max="6408" width="15.75" style="154" customWidth="1" collapsed="1"/>
    <col min="6409" max="6411" width="12.75" style="154" bestFit="1" customWidth="1" collapsed="1"/>
    <col min="6412" max="6414" width="8.875" style="154" collapsed="1"/>
    <col min="6415" max="6415" width="13" style="154" bestFit="1" customWidth="1" collapsed="1"/>
    <col min="6416" max="6660" width="8.875" style="154" collapsed="1"/>
    <col min="6661" max="6661" width="4.5" style="154" customWidth="1" collapsed="1"/>
    <col min="6662" max="6662" width="8.875" style="154" collapsed="1"/>
    <col min="6663" max="6663" width="24.75" style="154" customWidth="1" collapsed="1"/>
    <col min="6664" max="6664" width="15.75" style="154" customWidth="1" collapsed="1"/>
    <col min="6665" max="6667" width="12.75" style="154" bestFit="1" customWidth="1" collapsed="1"/>
    <col min="6668" max="6670" width="8.875" style="154" collapsed="1"/>
    <col min="6671" max="6671" width="13" style="154" bestFit="1" customWidth="1" collapsed="1"/>
    <col min="6672" max="6916" width="8.875" style="154" collapsed="1"/>
    <col min="6917" max="6917" width="4.5" style="154" customWidth="1" collapsed="1"/>
    <col min="6918" max="6918" width="8.875" style="154" collapsed="1"/>
    <col min="6919" max="6919" width="24.75" style="154" customWidth="1" collapsed="1"/>
    <col min="6920" max="6920" width="15.75" style="154" customWidth="1" collapsed="1"/>
    <col min="6921" max="6923" width="12.75" style="154" bestFit="1" customWidth="1" collapsed="1"/>
    <col min="6924" max="6926" width="8.875" style="154" collapsed="1"/>
    <col min="6927" max="6927" width="13" style="154" bestFit="1" customWidth="1" collapsed="1"/>
    <col min="6928" max="7172" width="8.875" style="154" collapsed="1"/>
    <col min="7173" max="7173" width="4.5" style="154" customWidth="1" collapsed="1"/>
    <col min="7174" max="7174" width="8.875" style="154" collapsed="1"/>
    <col min="7175" max="7175" width="24.75" style="154" customWidth="1" collapsed="1"/>
    <col min="7176" max="7176" width="15.75" style="154" customWidth="1" collapsed="1"/>
    <col min="7177" max="7179" width="12.75" style="154" bestFit="1" customWidth="1" collapsed="1"/>
    <col min="7180" max="7182" width="8.875" style="154" collapsed="1"/>
    <col min="7183" max="7183" width="13" style="154" bestFit="1" customWidth="1" collapsed="1"/>
    <col min="7184" max="7428" width="8.875" style="154" collapsed="1"/>
    <col min="7429" max="7429" width="4.5" style="154" customWidth="1" collapsed="1"/>
    <col min="7430" max="7430" width="8.875" style="154" collapsed="1"/>
    <col min="7431" max="7431" width="24.75" style="154" customWidth="1" collapsed="1"/>
    <col min="7432" max="7432" width="15.75" style="154" customWidth="1" collapsed="1"/>
    <col min="7433" max="7435" width="12.75" style="154" bestFit="1" customWidth="1" collapsed="1"/>
    <col min="7436" max="7438" width="8.875" style="154" collapsed="1"/>
    <col min="7439" max="7439" width="13" style="154" bestFit="1" customWidth="1" collapsed="1"/>
    <col min="7440" max="7684" width="8.875" style="154" collapsed="1"/>
    <col min="7685" max="7685" width="4.5" style="154" customWidth="1" collapsed="1"/>
    <col min="7686" max="7686" width="8.875" style="154" collapsed="1"/>
    <col min="7687" max="7687" width="24.75" style="154" customWidth="1" collapsed="1"/>
    <col min="7688" max="7688" width="15.75" style="154" customWidth="1" collapsed="1"/>
    <col min="7689" max="7691" width="12.75" style="154" bestFit="1" customWidth="1" collapsed="1"/>
    <col min="7692" max="7694" width="8.875" style="154" collapsed="1"/>
    <col min="7695" max="7695" width="13" style="154" bestFit="1" customWidth="1" collapsed="1"/>
    <col min="7696" max="7940" width="8.875" style="154" collapsed="1"/>
    <col min="7941" max="7941" width="4.5" style="154" customWidth="1" collapsed="1"/>
    <col min="7942" max="7942" width="8.875" style="154" collapsed="1"/>
    <col min="7943" max="7943" width="24.75" style="154" customWidth="1" collapsed="1"/>
    <col min="7944" max="7944" width="15.75" style="154" customWidth="1" collapsed="1"/>
    <col min="7945" max="7947" width="12.75" style="154" bestFit="1" customWidth="1" collapsed="1"/>
    <col min="7948" max="7950" width="8.875" style="154" collapsed="1"/>
    <col min="7951" max="7951" width="13" style="154" bestFit="1" customWidth="1" collapsed="1"/>
    <col min="7952" max="8196" width="8.875" style="154" collapsed="1"/>
    <col min="8197" max="8197" width="4.5" style="154" customWidth="1" collapsed="1"/>
    <col min="8198" max="8198" width="8.875" style="154" collapsed="1"/>
    <col min="8199" max="8199" width="24.75" style="154" customWidth="1" collapsed="1"/>
    <col min="8200" max="8200" width="15.75" style="154" customWidth="1" collapsed="1"/>
    <col min="8201" max="8203" width="12.75" style="154" bestFit="1" customWidth="1" collapsed="1"/>
    <col min="8204" max="8206" width="8.875" style="154" collapsed="1"/>
    <col min="8207" max="8207" width="13" style="154" bestFit="1" customWidth="1" collapsed="1"/>
    <col min="8208" max="8452" width="8.875" style="154" collapsed="1"/>
    <col min="8453" max="8453" width="4.5" style="154" customWidth="1" collapsed="1"/>
    <col min="8454" max="8454" width="8.875" style="154" collapsed="1"/>
    <col min="8455" max="8455" width="24.75" style="154" customWidth="1" collapsed="1"/>
    <col min="8456" max="8456" width="15.75" style="154" customWidth="1" collapsed="1"/>
    <col min="8457" max="8459" width="12.75" style="154" bestFit="1" customWidth="1" collapsed="1"/>
    <col min="8460" max="8462" width="8.875" style="154" collapsed="1"/>
    <col min="8463" max="8463" width="13" style="154" bestFit="1" customWidth="1" collapsed="1"/>
    <col min="8464" max="8708" width="8.875" style="154" collapsed="1"/>
    <col min="8709" max="8709" width="4.5" style="154" customWidth="1" collapsed="1"/>
    <col min="8710" max="8710" width="8.875" style="154" collapsed="1"/>
    <col min="8711" max="8711" width="24.75" style="154" customWidth="1" collapsed="1"/>
    <col min="8712" max="8712" width="15.75" style="154" customWidth="1" collapsed="1"/>
    <col min="8713" max="8715" width="12.75" style="154" bestFit="1" customWidth="1" collapsed="1"/>
    <col min="8716" max="8718" width="8.875" style="154" collapsed="1"/>
    <col min="8719" max="8719" width="13" style="154" bestFit="1" customWidth="1" collapsed="1"/>
    <col min="8720" max="8964" width="8.875" style="154" collapsed="1"/>
    <col min="8965" max="8965" width="4.5" style="154" customWidth="1" collapsed="1"/>
    <col min="8966" max="8966" width="8.875" style="154" collapsed="1"/>
    <col min="8967" max="8967" width="24.75" style="154" customWidth="1" collapsed="1"/>
    <col min="8968" max="8968" width="15.75" style="154" customWidth="1" collapsed="1"/>
    <col min="8969" max="8971" width="12.75" style="154" bestFit="1" customWidth="1" collapsed="1"/>
    <col min="8972" max="8974" width="8.875" style="154" collapsed="1"/>
    <col min="8975" max="8975" width="13" style="154" bestFit="1" customWidth="1" collapsed="1"/>
    <col min="8976" max="9220" width="8.875" style="154" collapsed="1"/>
    <col min="9221" max="9221" width="4.5" style="154" customWidth="1" collapsed="1"/>
    <col min="9222" max="9222" width="8.875" style="154" collapsed="1"/>
    <col min="9223" max="9223" width="24.75" style="154" customWidth="1" collapsed="1"/>
    <col min="9224" max="9224" width="15.75" style="154" customWidth="1" collapsed="1"/>
    <col min="9225" max="9227" width="12.75" style="154" bestFit="1" customWidth="1" collapsed="1"/>
    <col min="9228" max="9230" width="8.875" style="154" collapsed="1"/>
    <col min="9231" max="9231" width="13" style="154" bestFit="1" customWidth="1" collapsed="1"/>
    <col min="9232" max="9476" width="8.875" style="154" collapsed="1"/>
    <col min="9477" max="9477" width="4.5" style="154" customWidth="1" collapsed="1"/>
    <col min="9478" max="9478" width="8.875" style="154" collapsed="1"/>
    <col min="9479" max="9479" width="24.75" style="154" customWidth="1" collapsed="1"/>
    <col min="9480" max="9480" width="15.75" style="154" customWidth="1" collapsed="1"/>
    <col min="9481" max="9483" width="12.75" style="154" bestFit="1" customWidth="1" collapsed="1"/>
    <col min="9484" max="9486" width="8.875" style="154" collapsed="1"/>
    <col min="9487" max="9487" width="13" style="154" bestFit="1" customWidth="1" collapsed="1"/>
    <col min="9488" max="9732" width="8.875" style="154" collapsed="1"/>
    <col min="9733" max="9733" width="4.5" style="154" customWidth="1" collapsed="1"/>
    <col min="9734" max="9734" width="8.875" style="154" collapsed="1"/>
    <col min="9735" max="9735" width="24.75" style="154" customWidth="1" collapsed="1"/>
    <col min="9736" max="9736" width="15.75" style="154" customWidth="1" collapsed="1"/>
    <col min="9737" max="9739" width="12.75" style="154" bestFit="1" customWidth="1" collapsed="1"/>
    <col min="9740" max="9742" width="8.875" style="154" collapsed="1"/>
    <col min="9743" max="9743" width="13" style="154" bestFit="1" customWidth="1" collapsed="1"/>
    <col min="9744" max="9988" width="8.875" style="154" collapsed="1"/>
    <col min="9989" max="9989" width="4.5" style="154" customWidth="1" collapsed="1"/>
    <col min="9990" max="9990" width="8.875" style="154" collapsed="1"/>
    <col min="9991" max="9991" width="24.75" style="154" customWidth="1" collapsed="1"/>
    <col min="9992" max="9992" width="15.75" style="154" customWidth="1" collapsed="1"/>
    <col min="9993" max="9995" width="12.75" style="154" bestFit="1" customWidth="1" collapsed="1"/>
    <col min="9996" max="9998" width="8.875" style="154" collapsed="1"/>
    <col min="9999" max="9999" width="13" style="154" bestFit="1" customWidth="1" collapsed="1"/>
    <col min="10000" max="10244" width="8.875" style="154" collapsed="1"/>
    <col min="10245" max="10245" width="4.5" style="154" customWidth="1" collapsed="1"/>
    <col min="10246" max="10246" width="8.875" style="154" collapsed="1"/>
    <col min="10247" max="10247" width="24.75" style="154" customWidth="1" collapsed="1"/>
    <col min="10248" max="10248" width="15.75" style="154" customWidth="1" collapsed="1"/>
    <col min="10249" max="10251" width="12.75" style="154" bestFit="1" customWidth="1" collapsed="1"/>
    <col min="10252" max="10254" width="8.875" style="154" collapsed="1"/>
    <col min="10255" max="10255" width="13" style="154" bestFit="1" customWidth="1" collapsed="1"/>
    <col min="10256" max="10500" width="8.875" style="154" collapsed="1"/>
    <col min="10501" max="10501" width="4.5" style="154" customWidth="1" collapsed="1"/>
    <col min="10502" max="10502" width="8.875" style="154" collapsed="1"/>
    <col min="10503" max="10503" width="24.75" style="154" customWidth="1" collapsed="1"/>
    <col min="10504" max="10504" width="15.75" style="154" customWidth="1" collapsed="1"/>
    <col min="10505" max="10507" width="12.75" style="154" bestFit="1" customWidth="1" collapsed="1"/>
    <col min="10508" max="10510" width="8.875" style="154" collapsed="1"/>
    <col min="10511" max="10511" width="13" style="154" bestFit="1" customWidth="1" collapsed="1"/>
    <col min="10512" max="10756" width="8.875" style="154" collapsed="1"/>
    <col min="10757" max="10757" width="4.5" style="154" customWidth="1" collapsed="1"/>
    <col min="10758" max="10758" width="8.875" style="154" collapsed="1"/>
    <col min="10759" max="10759" width="24.75" style="154" customWidth="1" collapsed="1"/>
    <col min="10760" max="10760" width="15.75" style="154" customWidth="1" collapsed="1"/>
    <col min="10761" max="10763" width="12.75" style="154" bestFit="1" customWidth="1" collapsed="1"/>
    <col min="10764" max="10766" width="8.875" style="154" collapsed="1"/>
    <col min="10767" max="10767" width="13" style="154" bestFit="1" customWidth="1" collapsed="1"/>
    <col min="10768" max="11012" width="8.875" style="154" collapsed="1"/>
    <col min="11013" max="11013" width="4.5" style="154" customWidth="1" collapsed="1"/>
    <col min="11014" max="11014" width="8.875" style="154" collapsed="1"/>
    <col min="11015" max="11015" width="24.75" style="154" customWidth="1" collapsed="1"/>
    <col min="11016" max="11016" width="15.75" style="154" customWidth="1" collapsed="1"/>
    <col min="11017" max="11019" width="12.75" style="154" bestFit="1" customWidth="1" collapsed="1"/>
    <col min="11020" max="11022" width="8.875" style="154" collapsed="1"/>
    <col min="11023" max="11023" width="13" style="154" bestFit="1" customWidth="1" collapsed="1"/>
    <col min="11024" max="11268" width="8.875" style="154" collapsed="1"/>
    <col min="11269" max="11269" width="4.5" style="154" customWidth="1" collapsed="1"/>
    <col min="11270" max="11270" width="8.875" style="154" collapsed="1"/>
    <col min="11271" max="11271" width="24.75" style="154" customWidth="1" collapsed="1"/>
    <col min="11272" max="11272" width="15.75" style="154" customWidth="1" collapsed="1"/>
    <col min="11273" max="11275" width="12.75" style="154" bestFit="1" customWidth="1" collapsed="1"/>
    <col min="11276" max="11278" width="8.875" style="154" collapsed="1"/>
    <col min="11279" max="11279" width="13" style="154" bestFit="1" customWidth="1" collapsed="1"/>
    <col min="11280" max="11524" width="8.875" style="154" collapsed="1"/>
    <col min="11525" max="11525" width="4.5" style="154" customWidth="1" collapsed="1"/>
    <col min="11526" max="11526" width="8.875" style="154" collapsed="1"/>
    <col min="11527" max="11527" width="24.75" style="154" customWidth="1" collapsed="1"/>
    <col min="11528" max="11528" width="15.75" style="154" customWidth="1" collapsed="1"/>
    <col min="11529" max="11531" width="12.75" style="154" bestFit="1" customWidth="1" collapsed="1"/>
    <col min="11532" max="11534" width="8.875" style="154" collapsed="1"/>
    <col min="11535" max="11535" width="13" style="154" bestFit="1" customWidth="1" collapsed="1"/>
    <col min="11536" max="11780" width="8.875" style="154" collapsed="1"/>
    <col min="11781" max="11781" width="4.5" style="154" customWidth="1" collapsed="1"/>
    <col min="11782" max="11782" width="8.875" style="154" collapsed="1"/>
    <col min="11783" max="11783" width="24.75" style="154" customWidth="1" collapsed="1"/>
    <col min="11784" max="11784" width="15.75" style="154" customWidth="1" collapsed="1"/>
    <col min="11785" max="11787" width="12.75" style="154" bestFit="1" customWidth="1" collapsed="1"/>
    <col min="11788" max="11790" width="8.875" style="154" collapsed="1"/>
    <col min="11791" max="11791" width="13" style="154" bestFit="1" customWidth="1" collapsed="1"/>
    <col min="11792" max="12036" width="8.875" style="154" collapsed="1"/>
    <col min="12037" max="12037" width="4.5" style="154" customWidth="1" collapsed="1"/>
    <col min="12038" max="12038" width="8.875" style="154" collapsed="1"/>
    <col min="12039" max="12039" width="24.75" style="154" customWidth="1" collapsed="1"/>
    <col min="12040" max="12040" width="15.75" style="154" customWidth="1" collapsed="1"/>
    <col min="12041" max="12043" width="12.75" style="154" bestFit="1" customWidth="1" collapsed="1"/>
    <col min="12044" max="12046" width="8.875" style="154" collapsed="1"/>
    <col min="12047" max="12047" width="13" style="154" bestFit="1" customWidth="1" collapsed="1"/>
    <col min="12048" max="12292" width="8.875" style="154" collapsed="1"/>
    <col min="12293" max="12293" width="4.5" style="154" customWidth="1" collapsed="1"/>
    <col min="12294" max="12294" width="8.875" style="154" collapsed="1"/>
    <col min="12295" max="12295" width="24.75" style="154" customWidth="1" collapsed="1"/>
    <col min="12296" max="12296" width="15.75" style="154" customWidth="1" collapsed="1"/>
    <col min="12297" max="12299" width="12.75" style="154" bestFit="1" customWidth="1" collapsed="1"/>
    <col min="12300" max="12302" width="8.875" style="154" collapsed="1"/>
    <col min="12303" max="12303" width="13" style="154" bestFit="1" customWidth="1" collapsed="1"/>
    <col min="12304" max="12548" width="8.875" style="154" collapsed="1"/>
    <col min="12549" max="12549" width="4.5" style="154" customWidth="1" collapsed="1"/>
    <col min="12550" max="12550" width="8.875" style="154" collapsed="1"/>
    <col min="12551" max="12551" width="24.75" style="154" customWidth="1" collapsed="1"/>
    <col min="12552" max="12552" width="15.75" style="154" customWidth="1" collapsed="1"/>
    <col min="12553" max="12555" width="12.75" style="154" bestFit="1" customWidth="1" collapsed="1"/>
    <col min="12556" max="12558" width="8.875" style="154" collapsed="1"/>
    <col min="12559" max="12559" width="13" style="154" bestFit="1" customWidth="1" collapsed="1"/>
    <col min="12560" max="12804" width="8.875" style="154" collapsed="1"/>
    <col min="12805" max="12805" width="4.5" style="154" customWidth="1" collapsed="1"/>
    <col min="12806" max="12806" width="8.875" style="154" collapsed="1"/>
    <col min="12807" max="12807" width="24.75" style="154" customWidth="1" collapsed="1"/>
    <col min="12808" max="12808" width="15.75" style="154" customWidth="1" collapsed="1"/>
    <col min="12809" max="12811" width="12.75" style="154" bestFit="1" customWidth="1" collapsed="1"/>
    <col min="12812" max="12814" width="8.875" style="154" collapsed="1"/>
    <col min="12815" max="12815" width="13" style="154" bestFit="1" customWidth="1" collapsed="1"/>
    <col min="12816" max="13060" width="8.875" style="154" collapsed="1"/>
    <col min="13061" max="13061" width="4.5" style="154" customWidth="1" collapsed="1"/>
    <col min="13062" max="13062" width="8.875" style="154" collapsed="1"/>
    <col min="13063" max="13063" width="24.75" style="154" customWidth="1" collapsed="1"/>
    <col min="13064" max="13064" width="15.75" style="154" customWidth="1" collapsed="1"/>
    <col min="13065" max="13067" width="12.75" style="154" bestFit="1" customWidth="1" collapsed="1"/>
    <col min="13068" max="13070" width="8.875" style="154" collapsed="1"/>
    <col min="13071" max="13071" width="13" style="154" bestFit="1" customWidth="1" collapsed="1"/>
    <col min="13072" max="13316" width="8.875" style="154" collapsed="1"/>
    <col min="13317" max="13317" width="4.5" style="154" customWidth="1" collapsed="1"/>
    <col min="13318" max="13318" width="8.875" style="154" collapsed="1"/>
    <col min="13319" max="13319" width="24.75" style="154" customWidth="1" collapsed="1"/>
    <col min="13320" max="13320" width="15.75" style="154" customWidth="1" collapsed="1"/>
    <col min="13321" max="13323" width="12.75" style="154" bestFit="1" customWidth="1" collapsed="1"/>
    <col min="13324" max="13326" width="8.875" style="154" collapsed="1"/>
    <col min="13327" max="13327" width="13" style="154" bestFit="1" customWidth="1" collapsed="1"/>
    <col min="13328" max="13572" width="8.875" style="154" collapsed="1"/>
    <col min="13573" max="13573" width="4.5" style="154" customWidth="1" collapsed="1"/>
    <col min="13574" max="13574" width="8.875" style="154" collapsed="1"/>
    <col min="13575" max="13575" width="24.75" style="154" customWidth="1" collapsed="1"/>
    <col min="13576" max="13576" width="15.75" style="154" customWidth="1" collapsed="1"/>
    <col min="13577" max="13579" width="12.75" style="154" bestFit="1" customWidth="1" collapsed="1"/>
    <col min="13580" max="13582" width="8.875" style="154" collapsed="1"/>
    <col min="13583" max="13583" width="13" style="154" bestFit="1" customWidth="1" collapsed="1"/>
    <col min="13584" max="13828" width="8.875" style="154" collapsed="1"/>
    <col min="13829" max="13829" width="4.5" style="154" customWidth="1" collapsed="1"/>
    <col min="13830" max="13830" width="8.875" style="154" collapsed="1"/>
    <col min="13831" max="13831" width="24.75" style="154" customWidth="1" collapsed="1"/>
    <col min="13832" max="13832" width="15.75" style="154" customWidth="1" collapsed="1"/>
    <col min="13833" max="13835" width="12.75" style="154" bestFit="1" customWidth="1" collapsed="1"/>
    <col min="13836" max="13838" width="8.875" style="154" collapsed="1"/>
    <col min="13839" max="13839" width="13" style="154" bestFit="1" customWidth="1" collapsed="1"/>
    <col min="13840" max="14084" width="8.875" style="154" collapsed="1"/>
    <col min="14085" max="14085" width="4.5" style="154" customWidth="1" collapsed="1"/>
    <col min="14086" max="14086" width="8.875" style="154" collapsed="1"/>
    <col min="14087" max="14087" width="24.75" style="154" customWidth="1" collapsed="1"/>
    <col min="14088" max="14088" width="15.75" style="154" customWidth="1" collapsed="1"/>
    <col min="14089" max="14091" width="12.75" style="154" bestFit="1" customWidth="1" collapsed="1"/>
    <col min="14092" max="14094" width="8.875" style="154" collapsed="1"/>
    <col min="14095" max="14095" width="13" style="154" bestFit="1" customWidth="1" collapsed="1"/>
    <col min="14096" max="14340" width="8.875" style="154" collapsed="1"/>
    <col min="14341" max="14341" width="4.5" style="154" customWidth="1" collapsed="1"/>
    <col min="14342" max="14342" width="8.875" style="154" collapsed="1"/>
    <col min="14343" max="14343" width="24.75" style="154" customWidth="1" collapsed="1"/>
    <col min="14344" max="14344" width="15.75" style="154" customWidth="1" collapsed="1"/>
    <col min="14345" max="14347" width="12.75" style="154" bestFit="1" customWidth="1" collapsed="1"/>
    <col min="14348" max="14350" width="8.875" style="154" collapsed="1"/>
    <col min="14351" max="14351" width="13" style="154" bestFit="1" customWidth="1" collapsed="1"/>
    <col min="14352" max="14596" width="8.875" style="154" collapsed="1"/>
    <col min="14597" max="14597" width="4.5" style="154" customWidth="1" collapsed="1"/>
    <col min="14598" max="14598" width="8.875" style="154" collapsed="1"/>
    <col min="14599" max="14599" width="24.75" style="154" customWidth="1" collapsed="1"/>
    <col min="14600" max="14600" width="15.75" style="154" customWidth="1" collapsed="1"/>
    <col min="14601" max="14603" width="12.75" style="154" bestFit="1" customWidth="1" collapsed="1"/>
    <col min="14604" max="14606" width="8.875" style="154" collapsed="1"/>
    <col min="14607" max="14607" width="13" style="154" bestFit="1" customWidth="1" collapsed="1"/>
    <col min="14608" max="14852" width="8.875" style="154" collapsed="1"/>
    <col min="14853" max="14853" width="4.5" style="154" customWidth="1" collapsed="1"/>
    <col min="14854" max="14854" width="8.875" style="154" collapsed="1"/>
    <col min="14855" max="14855" width="24.75" style="154" customWidth="1" collapsed="1"/>
    <col min="14856" max="14856" width="15.75" style="154" customWidth="1" collapsed="1"/>
    <col min="14857" max="14859" width="12.75" style="154" bestFit="1" customWidth="1" collapsed="1"/>
    <col min="14860" max="14862" width="8.875" style="154" collapsed="1"/>
    <col min="14863" max="14863" width="13" style="154" bestFit="1" customWidth="1" collapsed="1"/>
    <col min="14864" max="15108" width="8.875" style="154" collapsed="1"/>
    <col min="15109" max="15109" width="4.5" style="154" customWidth="1" collapsed="1"/>
    <col min="15110" max="15110" width="8.875" style="154" collapsed="1"/>
    <col min="15111" max="15111" width="24.75" style="154" customWidth="1" collapsed="1"/>
    <col min="15112" max="15112" width="15.75" style="154" customWidth="1" collapsed="1"/>
    <col min="15113" max="15115" width="12.75" style="154" bestFit="1" customWidth="1" collapsed="1"/>
    <col min="15116" max="15118" width="8.875" style="154" collapsed="1"/>
    <col min="15119" max="15119" width="13" style="154" bestFit="1" customWidth="1" collapsed="1"/>
    <col min="15120" max="15364" width="8.875" style="154" collapsed="1"/>
    <col min="15365" max="15365" width="4.5" style="154" customWidth="1" collapsed="1"/>
    <col min="15366" max="15366" width="8.875" style="154" collapsed="1"/>
    <col min="15367" max="15367" width="24.75" style="154" customWidth="1" collapsed="1"/>
    <col min="15368" max="15368" width="15.75" style="154" customWidth="1" collapsed="1"/>
    <col min="15369" max="15371" width="12.75" style="154" bestFit="1" customWidth="1" collapsed="1"/>
    <col min="15372" max="15374" width="8.875" style="154" collapsed="1"/>
    <col min="15375" max="15375" width="13" style="154" bestFit="1" customWidth="1" collapsed="1"/>
    <col min="15376" max="15620" width="8.875" style="154" collapsed="1"/>
    <col min="15621" max="15621" width="4.5" style="154" customWidth="1" collapsed="1"/>
    <col min="15622" max="15622" width="8.875" style="154" collapsed="1"/>
    <col min="15623" max="15623" width="24.75" style="154" customWidth="1" collapsed="1"/>
    <col min="15624" max="15624" width="15.75" style="154" customWidth="1" collapsed="1"/>
    <col min="15625" max="15627" width="12.75" style="154" bestFit="1" customWidth="1" collapsed="1"/>
    <col min="15628" max="15630" width="8.875" style="154" collapsed="1"/>
    <col min="15631" max="15631" width="13" style="154" bestFit="1" customWidth="1" collapsed="1"/>
    <col min="15632" max="15876" width="8.875" style="154" collapsed="1"/>
    <col min="15877" max="15877" width="4.5" style="154" customWidth="1" collapsed="1"/>
    <col min="15878" max="15878" width="8.875" style="154" collapsed="1"/>
    <col min="15879" max="15879" width="24.75" style="154" customWidth="1" collapsed="1"/>
    <col min="15880" max="15880" width="15.75" style="154" customWidth="1" collapsed="1"/>
    <col min="15881" max="15883" width="12.75" style="154" bestFit="1" customWidth="1" collapsed="1"/>
    <col min="15884" max="15886" width="8.875" style="154" collapsed="1"/>
    <col min="15887" max="15887" width="13" style="154" bestFit="1" customWidth="1" collapsed="1"/>
    <col min="15888" max="16132" width="8.875" style="154" collapsed="1"/>
    <col min="16133" max="16133" width="4.5" style="154" customWidth="1" collapsed="1"/>
    <col min="16134" max="16134" width="8.875" style="154" collapsed="1"/>
    <col min="16135" max="16135" width="24.75" style="154" customWidth="1" collapsed="1"/>
    <col min="16136" max="16136" width="15.75" style="154" customWidth="1" collapsed="1"/>
    <col min="16137" max="16139" width="12.75" style="154" bestFit="1" customWidth="1" collapsed="1"/>
    <col min="16140" max="16142" width="8.875" style="154" collapsed="1"/>
    <col min="16143" max="16143" width="13" style="154" bestFit="1" customWidth="1" collapsed="1"/>
    <col min="16144" max="16381" width="8.875" style="154" collapsed="1"/>
    <col min="16382" max="16383" width="9" style="154" customWidth="1" collapsed="1"/>
    <col min="16384" max="16384" width="9" style="154" collapsed="1"/>
  </cols>
  <sheetData>
    <row r="2" spans="2:22" ht="21.75" thickBot="1">
      <c r="B2" s="458">
        <f>设计主界面!C3</f>
        <v>0</v>
      </c>
      <c r="C2" s="155" t="s">
        <v>201</v>
      </c>
      <c r="D2" s="156"/>
      <c r="E2" s="157"/>
      <c r="F2" s="454" t="s">
        <v>453</v>
      </c>
      <c r="G2" s="158"/>
      <c r="H2" s="158"/>
      <c r="I2" s="158"/>
      <c r="J2" s="158"/>
      <c r="K2" s="680" t="s">
        <v>452</v>
      </c>
      <c r="L2" s="158"/>
      <c r="M2" s="158"/>
      <c r="N2" s="158"/>
      <c r="O2" s="158"/>
      <c r="P2" s="156"/>
      <c r="Q2" s="156"/>
      <c r="R2" s="158"/>
      <c r="S2" s="156"/>
      <c r="T2" s="156"/>
      <c r="U2" s="156"/>
      <c r="V2" s="156"/>
    </row>
    <row r="3" spans="2:22" ht="16.5" thickTop="1">
      <c r="B3" s="159"/>
      <c r="C3" s="160"/>
      <c r="D3" s="160"/>
      <c r="E3" s="161" t="s">
        <v>454</v>
      </c>
      <c r="F3" s="566">
        <v>1</v>
      </c>
      <c r="G3" s="160"/>
      <c r="H3" s="162"/>
      <c r="I3" s="163"/>
      <c r="L3" s="160"/>
      <c r="O3" s="164"/>
    </row>
    <row r="4" spans="2:22" s="80" customFormat="1">
      <c r="B4" s="165" t="s">
        <v>455</v>
      </c>
      <c r="C4" s="166"/>
      <c r="D4" s="166"/>
      <c r="E4" s="166"/>
      <c r="F4" s="166"/>
      <c r="G4" s="167"/>
      <c r="H4" s="167"/>
      <c r="I4" s="167"/>
      <c r="J4" s="167"/>
      <c r="K4" s="167"/>
      <c r="L4" s="167"/>
      <c r="M4" s="167"/>
      <c r="N4" s="166"/>
      <c r="O4" s="166"/>
      <c r="P4" s="166"/>
      <c r="Q4" s="166"/>
      <c r="R4" s="167"/>
      <c r="S4" s="166"/>
      <c r="T4" s="166"/>
      <c r="U4" s="166"/>
      <c r="V4" s="166"/>
    </row>
    <row r="5" spans="2:22" s="80" customFormat="1" ht="26.25" customHeight="1">
      <c r="B5" s="734" t="s">
        <v>456</v>
      </c>
      <c r="C5" s="735" t="s">
        <v>457</v>
      </c>
      <c r="D5" s="735" t="s">
        <v>458</v>
      </c>
      <c r="E5" s="736" t="s">
        <v>459</v>
      </c>
      <c r="F5" s="736" t="s">
        <v>722</v>
      </c>
      <c r="G5" s="736" t="s">
        <v>723</v>
      </c>
      <c r="H5" s="736" t="s">
        <v>460</v>
      </c>
      <c r="I5" s="737" t="s">
        <v>461</v>
      </c>
      <c r="J5" s="736" t="s">
        <v>721</v>
      </c>
      <c r="K5" s="721" t="s">
        <v>462</v>
      </c>
      <c r="L5" s="316"/>
      <c r="M5" s="738" t="s">
        <v>463</v>
      </c>
      <c r="N5" s="736" t="s">
        <v>464</v>
      </c>
      <c r="O5" s="739" t="s">
        <v>465</v>
      </c>
      <c r="P5" s="738" t="s">
        <v>466</v>
      </c>
      <c r="Q5" s="740" t="s">
        <v>467</v>
      </c>
      <c r="S5" s="232"/>
      <c r="T5" s="473"/>
      <c r="U5" s="473"/>
    </row>
    <row r="6" spans="2:22" s="316" customFormat="1" ht="12.75">
      <c r="B6" s="1237" t="s">
        <v>468</v>
      </c>
      <c r="C6" s="557">
        <f>设计主界面!C20</f>
        <v>0</v>
      </c>
      <c r="D6" s="861" t="e">
        <f>VLOOKUP(C6,材料数据库!D25:E37,2)</f>
        <v>#N/A</v>
      </c>
      <c r="E6" s="558" t="e">
        <f>设计主界面!H20</f>
        <v>#N/A</v>
      </c>
      <c r="F6" s="560" t="e">
        <f>$F$3*N6</f>
        <v>#N/A</v>
      </c>
      <c r="G6" s="560" t="e">
        <f>F6/I6</f>
        <v>#N/A</v>
      </c>
      <c r="H6" s="379" t="s">
        <v>469</v>
      </c>
      <c r="I6" s="986"/>
      <c r="J6" s="571"/>
      <c r="K6" s="139"/>
      <c r="M6" s="574"/>
      <c r="N6" s="460" t="e">
        <f>设计主界面!I20*Overhang!O22*(设计主界面!E40+设计主界面!F40)*设计主界面!H20/1540.25/1000*设计主界面!L15/(1+设计主界面!O20)</f>
        <v>#N/A</v>
      </c>
      <c r="O6" s="563" t="e">
        <f t="shared" ref="O6:O18" si="0">N6*M6</f>
        <v>#N/A</v>
      </c>
      <c r="P6" s="564" t="e">
        <f t="shared" ref="P6:P26" si="1">O6/$O$47</f>
        <v>#N/A</v>
      </c>
      <c r="Q6" s="385" t="e">
        <f>N6/$N$47</f>
        <v>#N/A</v>
      </c>
      <c r="S6" s="380"/>
      <c r="T6" s="381"/>
      <c r="U6" s="472"/>
    </row>
    <row r="7" spans="2:22" s="316" customFormat="1" ht="12.75">
      <c r="B7" s="1238"/>
      <c r="C7" s="567">
        <f>材料数据库!C114</f>
        <v>0</v>
      </c>
      <c r="D7" s="568"/>
      <c r="E7" s="569"/>
      <c r="F7" s="560" t="e">
        <f>$F$3*N7</f>
        <v>#N/A</v>
      </c>
      <c r="G7" s="560" t="e">
        <f t="shared" ref="G7:G36" si="2">F7/I7</f>
        <v>#N/A</v>
      </c>
      <c r="H7" s="379" t="s">
        <v>469</v>
      </c>
      <c r="I7" s="987">
        <f>I6</f>
        <v>0</v>
      </c>
      <c r="J7" s="571"/>
      <c r="K7" s="139"/>
      <c r="L7" s="317"/>
      <c r="M7" s="574"/>
      <c r="N7" s="460" t="e">
        <f>E7*N6/E6</f>
        <v>#N/A</v>
      </c>
      <c r="O7" s="563" t="e">
        <f t="shared" si="0"/>
        <v>#N/A</v>
      </c>
      <c r="P7" s="564" t="e">
        <f t="shared" si="1"/>
        <v>#N/A</v>
      </c>
      <c r="Q7" s="385" t="e">
        <f>N7/$N$47</f>
        <v>#N/A</v>
      </c>
      <c r="S7" s="380"/>
      <c r="T7" s="381"/>
      <c r="U7" s="472"/>
    </row>
    <row r="8" spans="2:22" s="316" customFormat="1" ht="12.75">
      <c r="B8" s="1238"/>
      <c r="C8" s="567">
        <f>材料数据库!C182</f>
        <v>0</v>
      </c>
      <c r="D8" s="568"/>
      <c r="E8" s="569"/>
      <c r="F8" s="560" t="e">
        <f>$F$3*N8</f>
        <v>#N/A</v>
      </c>
      <c r="G8" s="560" t="e">
        <f t="shared" si="2"/>
        <v>#N/A</v>
      </c>
      <c r="H8" s="379" t="s">
        <v>469</v>
      </c>
      <c r="I8" s="987">
        <f>I6</f>
        <v>0</v>
      </c>
      <c r="J8" s="571"/>
      <c r="K8" s="139"/>
      <c r="L8" s="317"/>
      <c r="M8" s="574"/>
      <c r="N8" s="460" t="e">
        <f>E8*(N6/E6)</f>
        <v>#N/A</v>
      </c>
      <c r="O8" s="563" t="e">
        <f t="shared" si="0"/>
        <v>#N/A</v>
      </c>
      <c r="P8" s="564" t="e">
        <f t="shared" si="1"/>
        <v>#N/A</v>
      </c>
      <c r="Q8" s="385" t="e">
        <f>N8/$N$47</f>
        <v>#N/A</v>
      </c>
      <c r="S8" s="380"/>
      <c r="T8" s="381"/>
      <c r="U8" s="381"/>
    </row>
    <row r="9" spans="2:22" s="316" customFormat="1" ht="12.75">
      <c r="B9" s="1238"/>
      <c r="C9" s="567">
        <f>材料数据库!C140</f>
        <v>0</v>
      </c>
      <c r="D9" s="568"/>
      <c r="E9" s="569"/>
      <c r="F9" s="560" t="e">
        <f>$F$3*N9</f>
        <v>#N/A</v>
      </c>
      <c r="G9" s="560" t="e">
        <f t="shared" si="2"/>
        <v>#N/A</v>
      </c>
      <c r="H9" s="379" t="s">
        <v>469</v>
      </c>
      <c r="I9" s="987">
        <f>I6</f>
        <v>0</v>
      </c>
      <c r="J9" s="571"/>
      <c r="K9" s="139"/>
      <c r="L9" s="318"/>
      <c r="M9" s="574"/>
      <c r="N9" s="460" t="e">
        <f>E9*N6/E6</f>
        <v>#N/A</v>
      </c>
      <c r="O9" s="563" t="e">
        <f t="shared" si="0"/>
        <v>#N/A</v>
      </c>
      <c r="P9" s="564" t="e">
        <f t="shared" si="1"/>
        <v>#N/A</v>
      </c>
      <c r="Q9" s="385" t="e">
        <f>N9/$N$47</f>
        <v>#N/A</v>
      </c>
      <c r="S9" s="382"/>
      <c r="T9" s="89"/>
    </row>
    <row r="10" spans="2:22" s="316" customFormat="1" ht="12.75">
      <c r="B10" s="1238"/>
      <c r="C10" s="567">
        <f>材料数据库!C141</f>
        <v>0</v>
      </c>
      <c r="D10" s="568"/>
      <c r="E10" s="569"/>
      <c r="F10" s="560" t="e">
        <f>$F$3*N10</f>
        <v>#N/A</v>
      </c>
      <c r="G10" s="560" t="e">
        <f t="shared" si="2"/>
        <v>#N/A</v>
      </c>
      <c r="H10" s="379" t="s">
        <v>470</v>
      </c>
      <c r="I10" s="987">
        <f>I6</f>
        <v>0</v>
      </c>
      <c r="J10" s="571"/>
      <c r="K10" s="139"/>
      <c r="L10" s="318"/>
      <c r="M10" s="574"/>
      <c r="N10" s="460" t="e">
        <f>E10*N6/E6</f>
        <v>#N/A</v>
      </c>
      <c r="O10" s="563" t="e">
        <f t="shared" si="0"/>
        <v>#N/A</v>
      </c>
      <c r="P10" s="564" t="e">
        <f t="shared" si="1"/>
        <v>#N/A</v>
      </c>
      <c r="Q10" s="385" t="e">
        <f>N10/$N$47</f>
        <v>#N/A</v>
      </c>
      <c r="S10" s="382"/>
      <c r="T10" s="89"/>
    </row>
    <row r="11" spans="2:22" s="316" customFormat="1" ht="12.75">
      <c r="B11" s="1238"/>
      <c r="C11" s="742" t="s">
        <v>471</v>
      </c>
      <c r="D11" s="568"/>
      <c r="E11" s="569"/>
      <c r="F11" s="561"/>
      <c r="G11" s="561"/>
      <c r="H11" s="379"/>
      <c r="I11" s="988"/>
      <c r="J11" s="384"/>
      <c r="K11" s="144"/>
      <c r="L11" s="318"/>
      <c r="M11" s="574"/>
      <c r="N11" s="460"/>
      <c r="O11" s="563">
        <f t="shared" si="0"/>
        <v>0</v>
      </c>
      <c r="P11" s="564" t="e">
        <f t="shared" si="1"/>
        <v>#N/A</v>
      </c>
      <c r="Q11" s="385"/>
      <c r="S11" s="382"/>
      <c r="T11" s="89"/>
    </row>
    <row r="12" spans="2:22" s="316" customFormat="1" ht="12.75">
      <c r="B12" s="1238"/>
      <c r="C12" s="742" t="s">
        <v>472</v>
      </c>
      <c r="D12" s="568"/>
      <c r="E12" s="386" t="s">
        <v>473</v>
      </c>
      <c r="F12" s="560" t="e">
        <f>$F$3*设计主界面!E40*K12/2*设计主界面!L15/1000000/(1+设计主界面!O20)</f>
        <v>#N/A</v>
      </c>
      <c r="G12" s="562" t="e">
        <f t="shared" si="2"/>
        <v>#N/A</v>
      </c>
      <c r="H12" s="379" t="s">
        <v>474</v>
      </c>
      <c r="I12" s="987">
        <f>I6</f>
        <v>0</v>
      </c>
      <c r="J12" s="571"/>
      <c r="K12" s="488" t="e">
        <f>Overhang!L78</f>
        <v>#N/A</v>
      </c>
      <c r="L12" s="320"/>
      <c r="M12" s="574"/>
      <c r="N12" s="565" t="e">
        <f>设计主界面!E40/(1+设计主界面!O20)*Overhang!K116*设计主界面!L15/1540.25*材料数据库!F100/1000</f>
        <v>#N/A</v>
      </c>
      <c r="O12" s="563" t="e">
        <f t="shared" si="0"/>
        <v>#N/A</v>
      </c>
      <c r="P12" s="564" t="e">
        <f t="shared" si="1"/>
        <v>#N/A</v>
      </c>
      <c r="Q12" s="385" t="e">
        <f t="shared" ref="Q12:Q21" si="3">N12/$N$47</f>
        <v>#N/A</v>
      </c>
      <c r="S12" s="382"/>
      <c r="T12" s="89"/>
    </row>
    <row r="13" spans="2:22" s="316" customFormat="1" ht="12.75">
      <c r="B13" s="1238"/>
      <c r="C13" s="742" t="s">
        <v>475</v>
      </c>
      <c r="D13" s="861">
        <f>D12</f>
        <v>0</v>
      </c>
      <c r="E13" s="386" t="s">
        <v>476</v>
      </c>
      <c r="F13" s="383"/>
      <c r="G13" s="383"/>
      <c r="H13" s="379"/>
      <c r="I13" s="988"/>
      <c r="J13" s="384"/>
      <c r="K13" s="488">
        <f>Overhang!K113</f>
        <v>-6.75</v>
      </c>
      <c r="L13" s="318"/>
      <c r="M13" s="574"/>
      <c r="N13" s="565" t="e">
        <f>(极耳错位!D62+极耳错位!E62)*K13/2/(1+设计主界面!O20)*IF(设计主界面!P15="一层一个",模切尺寸!N49,模切尺寸!F49)*设计主界面!L15/1540.25*材料数据库!F100/1000</f>
        <v>#N/A</v>
      </c>
      <c r="O13" s="563" t="e">
        <f t="shared" si="0"/>
        <v>#N/A</v>
      </c>
      <c r="P13" s="564" t="e">
        <f t="shared" si="1"/>
        <v>#N/A</v>
      </c>
      <c r="Q13" s="385" t="e">
        <f t="shared" si="3"/>
        <v>#N/A</v>
      </c>
      <c r="S13" s="382"/>
      <c r="T13" s="89"/>
    </row>
    <row r="14" spans="2:22" s="316" customFormat="1" ht="12.75">
      <c r="B14" s="1238"/>
      <c r="C14" s="754" t="s">
        <v>507</v>
      </c>
      <c r="D14" s="568"/>
      <c r="E14" s="570"/>
      <c r="F14" s="560" t="e">
        <f t="shared" ref="F14:F21" si="4">$F$3*N14</f>
        <v>#N/A</v>
      </c>
      <c r="G14" s="560" t="e">
        <f t="shared" si="2"/>
        <v>#N/A</v>
      </c>
      <c r="H14" s="379" t="s">
        <v>508</v>
      </c>
      <c r="I14" s="987">
        <f>I6</f>
        <v>0</v>
      </c>
      <c r="J14" s="384"/>
      <c r="K14" s="488"/>
      <c r="L14" s="318"/>
      <c r="M14" s="574"/>
      <c r="N14" s="565" t="e">
        <f>0.485*设计主界面!D22*(设计主界面!D40*(设计主界面!E40+设计主界面!F40)/(1+设计主界面!O20))/1540.25*设计主界面!L15/1000</f>
        <v>#N/A</v>
      </c>
      <c r="O14" s="563" t="e">
        <f t="shared" si="0"/>
        <v>#N/A</v>
      </c>
      <c r="P14" s="564" t="e">
        <f t="shared" si="1"/>
        <v>#N/A</v>
      </c>
      <c r="Q14" s="385" t="e">
        <f t="shared" si="3"/>
        <v>#N/A</v>
      </c>
      <c r="S14" s="382"/>
      <c r="T14" s="89"/>
    </row>
    <row r="15" spans="2:22" s="316" customFormat="1" ht="12.75">
      <c r="B15" s="1239"/>
      <c r="C15" s="754" t="s">
        <v>914</v>
      </c>
      <c r="D15" s="568" t="s">
        <v>915</v>
      </c>
      <c r="E15" s="386" t="s">
        <v>473</v>
      </c>
      <c r="F15" s="560" t="e">
        <f t="shared" si="4"/>
        <v>#N/A</v>
      </c>
      <c r="G15" s="560" t="e">
        <f t="shared" ref="G15" si="5">F15/I15</f>
        <v>#N/A</v>
      </c>
      <c r="H15" s="379" t="s">
        <v>508</v>
      </c>
      <c r="I15" s="987">
        <f>I7</f>
        <v>0</v>
      </c>
      <c r="J15" s="384"/>
      <c r="K15" s="488"/>
      <c r="L15" s="318"/>
      <c r="M15" s="574"/>
      <c r="N15" s="565" t="e">
        <f>(设计主界面!E40+设计主界面!F40)*Overhang!O20*0.03/(1+设计主界面!O20)*设计主界面!L15*材料数据库!E167/1000000</f>
        <v>#N/A</v>
      </c>
      <c r="O15" s="563" t="e">
        <f t="shared" si="0"/>
        <v>#N/A</v>
      </c>
      <c r="P15" s="564" t="e">
        <f t="shared" si="1"/>
        <v>#N/A</v>
      </c>
      <c r="Q15" s="385" t="e">
        <f t="shared" si="3"/>
        <v>#N/A</v>
      </c>
      <c r="S15" s="382"/>
      <c r="T15" s="89"/>
    </row>
    <row r="16" spans="2:22" s="316" customFormat="1" ht="12.75">
      <c r="B16" s="1230" t="s">
        <v>477</v>
      </c>
      <c r="C16" s="557">
        <f>设计主界面!C19</f>
        <v>0</v>
      </c>
      <c r="D16" s="557" t="e">
        <f>VLOOKUP(C16,材料数据库!D6:E18,2,FALSE)</f>
        <v>#N/A</v>
      </c>
      <c r="E16" s="558" t="e">
        <f>设计主界面!H19</f>
        <v>#N/A</v>
      </c>
      <c r="F16" s="560" t="e">
        <f t="shared" si="4"/>
        <v>#N/A</v>
      </c>
      <c r="G16" s="560" t="e">
        <f t="shared" si="2"/>
        <v>#N/A</v>
      </c>
      <c r="H16" s="387" t="s">
        <v>469</v>
      </c>
      <c r="I16" s="986"/>
      <c r="J16" s="571"/>
      <c r="K16" s="144"/>
      <c r="L16" s="319"/>
      <c r="M16" s="574"/>
      <c r="N16" s="460" t="e">
        <f>设计主界面!I19*设计主界面!D39*(设计主界面!E39+设计主界面!F39)*设计主界面!H19/1540.25/1000*设计主界面!L15/(1+设计主界面!O19)</f>
        <v>#N/A</v>
      </c>
      <c r="O16" s="563" t="e">
        <f t="shared" si="0"/>
        <v>#N/A</v>
      </c>
      <c r="P16" s="564" t="e">
        <f t="shared" si="1"/>
        <v>#N/A</v>
      </c>
      <c r="Q16" s="385" t="e">
        <f t="shared" si="3"/>
        <v>#N/A</v>
      </c>
      <c r="S16" s="382"/>
      <c r="T16" s="89"/>
    </row>
    <row r="17" spans="2:20" s="316" customFormat="1" ht="12.75">
      <c r="B17" s="1230"/>
      <c r="C17" s="567">
        <f>材料数据库!C153</f>
        <v>0</v>
      </c>
      <c r="D17" s="567"/>
      <c r="E17" s="569"/>
      <c r="F17" s="560" t="e">
        <f t="shared" si="4"/>
        <v>#N/A</v>
      </c>
      <c r="G17" s="560" t="e">
        <f t="shared" si="2"/>
        <v>#N/A</v>
      </c>
      <c r="H17" s="387" t="s">
        <v>469</v>
      </c>
      <c r="I17" s="989">
        <f>I16</f>
        <v>0</v>
      </c>
      <c r="J17" s="571"/>
      <c r="K17" s="144"/>
      <c r="L17" s="319"/>
      <c r="M17" s="574"/>
      <c r="N17" s="461" t="e">
        <f>E17*N16/E16</f>
        <v>#N/A</v>
      </c>
      <c r="O17" s="563" t="e">
        <f t="shared" si="0"/>
        <v>#N/A</v>
      </c>
      <c r="P17" s="564" t="e">
        <f t="shared" si="1"/>
        <v>#N/A</v>
      </c>
      <c r="Q17" s="385" t="e">
        <f t="shared" si="3"/>
        <v>#N/A</v>
      </c>
      <c r="S17" s="382"/>
      <c r="T17" s="89"/>
    </row>
    <row r="18" spans="2:20" s="316" customFormat="1" ht="12.75">
      <c r="B18" s="1230"/>
      <c r="C18" s="567">
        <f>材料数据库!C127</f>
        <v>0</v>
      </c>
      <c r="D18" s="567"/>
      <c r="E18" s="569"/>
      <c r="F18" s="560" t="e">
        <f t="shared" si="4"/>
        <v>#N/A</v>
      </c>
      <c r="G18" s="560" t="e">
        <f t="shared" si="2"/>
        <v>#N/A</v>
      </c>
      <c r="H18" s="387" t="s">
        <v>470</v>
      </c>
      <c r="I18" s="989">
        <f>I16</f>
        <v>0</v>
      </c>
      <c r="J18" s="571"/>
      <c r="K18" s="144"/>
      <c r="L18" s="319"/>
      <c r="M18" s="574"/>
      <c r="N18" s="461" t="e">
        <f>E18*N16/E16</f>
        <v>#N/A</v>
      </c>
      <c r="O18" s="563" t="e">
        <f t="shared" si="0"/>
        <v>#N/A</v>
      </c>
      <c r="P18" s="564" t="e">
        <f t="shared" si="1"/>
        <v>#N/A</v>
      </c>
      <c r="Q18" s="385" t="e">
        <f t="shared" si="3"/>
        <v>#N/A</v>
      </c>
      <c r="S18" s="382"/>
      <c r="T18" s="89"/>
    </row>
    <row r="19" spans="2:20" s="316" customFormat="1" ht="12.75">
      <c r="B19" s="1230"/>
      <c r="C19" s="567">
        <f>材料数据库!C128</f>
        <v>0</v>
      </c>
      <c r="D19" s="567"/>
      <c r="E19" s="569"/>
      <c r="F19" s="560" t="e">
        <f t="shared" si="4"/>
        <v>#N/A</v>
      </c>
      <c r="G19" s="560" t="e">
        <f>F19/I19</f>
        <v>#N/A</v>
      </c>
      <c r="H19" s="387" t="s">
        <v>470</v>
      </c>
      <c r="I19" s="989">
        <f>I16</f>
        <v>0</v>
      </c>
      <c r="J19" s="571"/>
      <c r="K19" s="144"/>
      <c r="L19" s="319"/>
      <c r="M19" s="574"/>
      <c r="N19" s="461" t="e">
        <f>E19*N16/E16</f>
        <v>#N/A</v>
      </c>
      <c r="O19" s="563" t="e">
        <f t="shared" ref="O19:O24" si="6">N19*M19</f>
        <v>#N/A</v>
      </c>
      <c r="P19" s="564" t="e">
        <f t="shared" si="1"/>
        <v>#N/A</v>
      </c>
      <c r="Q19" s="385" t="e">
        <f t="shared" si="3"/>
        <v>#N/A</v>
      </c>
      <c r="S19" s="382"/>
      <c r="T19" s="89"/>
    </row>
    <row r="20" spans="2:20" s="316" customFormat="1" ht="12.75">
      <c r="B20" s="1230"/>
      <c r="C20" s="567">
        <f>材料数据库!C140</f>
        <v>0</v>
      </c>
      <c r="D20" s="567"/>
      <c r="E20" s="569"/>
      <c r="F20" s="560" t="e">
        <f t="shared" si="4"/>
        <v>#N/A</v>
      </c>
      <c r="G20" s="560" t="e">
        <f t="shared" si="2"/>
        <v>#N/A</v>
      </c>
      <c r="H20" s="387" t="s">
        <v>470</v>
      </c>
      <c r="I20" s="989">
        <f>I16</f>
        <v>0</v>
      </c>
      <c r="J20" s="571"/>
      <c r="K20" s="144"/>
      <c r="L20" s="319"/>
      <c r="M20" s="574"/>
      <c r="N20" s="461" t="e">
        <f>E20*N16/E16</f>
        <v>#N/A</v>
      </c>
      <c r="O20" s="563" t="e">
        <f t="shared" si="6"/>
        <v>#N/A</v>
      </c>
      <c r="P20" s="564" t="e">
        <f t="shared" si="1"/>
        <v>#N/A</v>
      </c>
      <c r="Q20" s="385" t="e">
        <f t="shared" si="3"/>
        <v>#N/A</v>
      </c>
      <c r="S20" s="382"/>
      <c r="T20" s="89"/>
    </row>
    <row r="21" spans="2:20" s="316" customFormat="1" ht="12.75">
      <c r="B21" s="1230"/>
      <c r="C21" s="567">
        <f>材料数据库!C141</f>
        <v>0</v>
      </c>
      <c r="D21" s="568"/>
      <c r="E21" s="569"/>
      <c r="F21" s="560" t="e">
        <f t="shared" si="4"/>
        <v>#N/A</v>
      </c>
      <c r="G21" s="560" t="e">
        <f t="shared" si="2"/>
        <v>#N/A</v>
      </c>
      <c r="H21" s="387" t="s">
        <v>470</v>
      </c>
      <c r="I21" s="989">
        <f>I16</f>
        <v>0</v>
      </c>
      <c r="J21" s="571"/>
      <c r="K21" s="144"/>
      <c r="L21" s="319"/>
      <c r="M21" s="574"/>
      <c r="N21" s="461" t="e">
        <f>E21*N16/E16</f>
        <v>#N/A</v>
      </c>
      <c r="O21" s="563" t="e">
        <f t="shared" si="6"/>
        <v>#N/A</v>
      </c>
      <c r="P21" s="564" t="e">
        <f t="shared" si="1"/>
        <v>#N/A</v>
      </c>
      <c r="Q21" s="385" t="e">
        <f t="shared" si="3"/>
        <v>#N/A</v>
      </c>
      <c r="S21" s="382"/>
      <c r="T21" s="89"/>
    </row>
    <row r="22" spans="2:20" s="316" customFormat="1" ht="12.75">
      <c r="B22" s="1230"/>
      <c r="C22" s="742" t="s">
        <v>478</v>
      </c>
      <c r="D22" s="567"/>
      <c r="E22" s="569"/>
      <c r="F22" s="383"/>
      <c r="G22" s="383"/>
      <c r="H22" s="387"/>
      <c r="I22" s="989">
        <f>I16</f>
        <v>0</v>
      </c>
      <c r="J22" s="571"/>
      <c r="K22" s="144"/>
      <c r="L22" s="319"/>
      <c r="M22" s="574"/>
      <c r="N22" s="461"/>
      <c r="O22" s="563">
        <f t="shared" si="6"/>
        <v>0</v>
      </c>
      <c r="P22" s="564" t="e">
        <f t="shared" si="1"/>
        <v>#N/A</v>
      </c>
      <c r="Q22" s="385"/>
      <c r="S22" s="382"/>
      <c r="T22" s="89"/>
    </row>
    <row r="23" spans="2:20" s="316" customFormat="1" ht="12.75">
      <c r="B23" s="1230"/>
      <c r="C23" s="742" t="s">
        <v>479</v>
      </c>
      <c r="D23" s="568"/>
      <c r="E23" s="386" t="s">
        <v>476</v>
      </c>
      <c r="F23" s="560" t="e">
        <f>$F$3*设计主界面!E39*K23/2*设计主界面!L15/1000000/(1+设计主界面!O19)</f>
        <v>#N/A</v>
      </c>
      <c r="G23" s="562" t="e">
        <f t="shared" si="2"/>
        <v>#N/A</v>
      </c>
      <c r="H23" s="379" t="s">
        <v>480</v>
      </c>
      <c r="I23" s="989">
        <f>I16</f>
        <v>0</v>
      </c>
      <c r="J23" s="571"/>
      <c r="K23" s="488" t="e">
        <f>Overhang!L34</f>
        <v>#N/A</v>
      </c>
      <c r="L23" s="320"/>
      <c r="M23" s="574"/>
      <c r="N23" s="565" t="e">
        <f>设计主界面!E39/(1+设计主界面!O19)*设计主界面!D39*设计主界面!L15/1540.25*材料数据库!F94/1000</f>
        <v>#N/A</v>
      </c>
      <c r="O23" s="563" t="e">
        <f t="shared" si="6"/>
        <v>#N/A</v>
      </c>
      <c r="P23" s="564" t="e">
        <f t="shared" si="1"/>
        <v>#N/A</v>
      </c>
      <c r="Q23" s="385" t="e">
        <f>N23/$N$47</f>
        <v>#N/A</v>
      </c>
      <c r="S23" s="382"/>
      <c r="T23" s="89"/>
    </row>
    <row r="24" spans="2:20" s="316" customFormat="1" ht="12.75">
      <c r="B24" s="1230"/>
      <c r="C24" s="742" t="s">
        <v>481</v>
      </c>
      <c r="D24" s="861">
        <f>D23</f>
        <v>0</v>
      </c>
      <c r="E24" s="386" t="s">
        <v>482</v>
      </c>
      <c r="F24" s="383"/>
      <c r="G24" s="383"/>
      <c r="H24" s="379"/>
      <c r="I24" s="990"/>
      <c r="J24" s="384"/>
      <c r="K24" s="488">
        <f>Overhang!K68</f>
        <v>-2.25</v>
      </c>
      <c r="L24" s="318"/>
      <c r="M24" s="574"/>
      <c r="N24" s="565" t="e">
        <f>(极耳错位!D62+极耳错位!E62)*K24/2/(1+设计主界面!O19)*IF(设计主界面!P15="一层一个",模切尺寸!K49,模切尺寸!C49)*设计主界面!L15/1540.25*材料数据库!F94/1000</f>
        <v>#N/A</v>
      </c>
      <c r="O24" s="563" t="e">
        <f t="shared" si="6"/>
        <v>#N/A</v>
      </c>
      <c r="P24" s="564" t="e">
        <f t="shared" si="1"/>
        <v>#N/A</v>
      </c>
      <c r="Q24" s="385" t="e">
        <f>N24/$N$47</f>
        <v>#N/A</v>
      </c>
      <c r="S24" s="382"/>
      <c r="T24" s="89"/>
    </row>
    <row r="25" spans="2:20" s="316" customFormat="1" ht="12.75">
      <c r="B25" s="388" t="s">
        <v>483</v>
      </c>
      <c r="C25" s="557">
        <f>设计主界面!I34</f>
        <v>0</v>
      </c>
      <c r="D25" s="557" t="e">
        <f>VLOOKUP(C25,材料数据库!C74:E88,2,FALSE)</f>
        <v>#N/A</v>
      </c>
      <c r="E25" s="386"/>
      <c r="F25" s="560">
        <f>$F$3*N25</f>
        <v>0</v>
      </c>
      <c r="G25" s="560" t="e">
        <f t="shared" si="2"/>
        <v>#DIV/0!</v>
      </c>
      <c r="H25" s="389" t="s">
        <v>470</v>
      </c>
      <c r="I25" s="986"/>
      <c r="J25" s="571"/>
      <c r="K25" s="144"/>
      <c r="L25" s="145"/>
      <c r="M25" s="574"/>
      <c r="N25" s="460">
        <f>设计主界面!J34/1000</f>
        <v>0</v>
      </c>
      <c r="O25" s="563">
        <f>N25*M25</f>
        <v>0</v>
      </c>
      <c r="P25" s="564" t="e">
        <f t="shared" si="1"/>
        <v>#N/A</v>
      </c>
      <c r="Q25" s="385" t="e">
        <f>N25/$N$47</f>
        <v>#N/A</v>
      </c>
      <c r="S25" s="390"/>
      <c r="T25" s="89"/>
    </row>
    <row r="26" spans="2:20" s="316" customFormat="1" ht="12.75">
      <c r="B26" s="1234" t="s">
        <v>882</v>
      </c>
      <c r="C26" s="557">
        <f>设计主界面!C24</f>
        <v>0</v>
      </c>
      <c r="D26" s="557" t="e">
        <f>VLOOKUP(C26,材料数据库!$C$45:$K$67,2,FALSE)</f>
        <v>#N/A</v>
      </c>
      <c r="E26" s="391"/>
      <c r="F26" s="560" t="e">
        <f>$F$3*设计主界面!D41*设计主界面!E41*设计主界面!L15/1000000</f>
        <v>#N/A</v>
      </c>
      <c r="G26" s="562" t="e">
        <f t="shared" si="2"/>
        <v>#N/A</v>
      </c>
      <c r="H26" s="379" t="s">
        <v>484</v>
      </c>
      <c r="I26" s="986"/>
      <c r="J26" s="571"/>
      <c r="K26" s="144"/>
      <c r="L26" s="145"/>
      <c r="M26" s="574"/>
      <c r="N26" s="460" t="e">
        <f>设计主界面!D41*设计主界面!E41*设计主界面!L15/1540.25*VLOOKUP(设计主界面!C24,材料数据库!$C$45:$K$67,9,FALSE)/1000</f>
        <v>#N/A</v>
      </c>
      <c r="O26" s="563" t="e">
        <f>设计主界面!D41*设计主界面!E41*设计主界面!L15/1000000*M26</f>
        <v>#N/A</v>
      </c>
      <c r="P26" s="564" t="e">
        <f t="shared" si="1"/>
        <v>#N/A</v>
      </c>
      <c r="Q26" s="385" t="e">
        <f>N26/$N$47</f>
        <v>#N/A</v>
      </c>
      <c r="S26" s="382"/>
      <c r="T26" s="89"/>
    </row>
    <row r="27" spans="2:20" s="316" customFormat="1" ht="12.75">
      <c r="B27" s="1235"/>
      <c r="C27" s="557">
        <f>材料数据库!C167</f>
        <v>0</v>
      </c>
      <c r="D27" s="557"/>
      <c r="E27" s="391"/>
      <c r="F27" s="560" t="e">
        <f>$F$3*N27</f>
        <v>#N/A</v>
      </c>
      <c r="G27" s="560" t="e">
        <f t="shared" si="2"/>
        <v>#N/A</v>
      </c>
      <c r="H27" s="389" t="s">
        <v>469</v>
      </c>
      <c r="I27" s="986"/>
      <c r="J27" s="571"/>
      <c r="K27" s="144"/>
      <c r="L27" s="145"/>
      <c r="M27" s="574"/>
      <c r="N27" s="460" t="e">
        <f>设计主界面!E41*设计主界面!D41*(0.0615*设计主界面!D25*1000+0.1)*设计主界面!L15/100/1000/1000</f>
        <v>#N/A</v>
      </c>
      <c r="O27" s="563" t="e">
        <f>N27*M27</f>
        <v>#N/A</v>
      </c>
      <c r="P27" s="564"/>
      <c r="Q27" s="385"/>
      <c r="S27" s="382"/>
      <c r="T27" s="89"/>
    </row>
    <row r="28" spans="2:20" s="316" customFormat="1" ht="12.75">
      <c r="B28" s="1236"/>
      <c r="C28" s="557">
        <f>材料数据库!C174</f>
        <v>0</v>
      </c>
      <c r="D28" s="557"/>
      <c r="E28" s="391"/>
      <c r="F28" s="560" t="e">
        <f>$F$3*N28</f>
        <v>#N/A</v>
      </c>
      <c r="G28" s="560" t="e">
        <f t="shared" si="2"/>
        <v>#N/A</v>
      </c>
      <c r="H28" s="389" t="s">
        <v>469</v>
      </c>
      <c r="I28" s="986"/>
      <c r="J28" s="571"/>
      <c r="K28" s="144"/>
      <c r="L28" s="145"/>
      <c r="M28" s="574"/>
      <c r="N28" s="460" t="e">
        <f>设计主界面!E41*设计主界面!D41*IF(设计主界面!D27&gt;=0.012,0.0025,IF(设计主界面!D27&gt;0,0.0015,0))*设计主界面!L15/1540.25/1000</f>
        <v>#N/A</v>
      </c>
      <c r="O28" s="563" t="e">
        <f>N28*M28</f>
        <v>#N/A</v>
      </c>
      <c r="P28" s="564"/>
      <c r="Q28" s="385"/>
      <c r="S28" s="382"/>
      <c r="T28" s="89"/>
    </row>
    <row r="29" spans="2:20" s="316" customFormat="1" ht="12.75">
      <c r="B29" s="1231" t="s">
        <v>485</v>
      </c>
      <c r="C29" s="771" t="s">
        <v>792</v>
      </c>
      <c r="D29" s="557" t="e">
        <f>HLOOKUP(设计主界面!$B$11,机械件数据库!$E$5:'机械件数据库'!$DQ$48,27,FALSE)</f>
        <v>#N/A</v>
      </c>
      <c r="E29" s="391"/>
      <c r="F29" s="562">
        <f t="shared" ref="F29:F34" si="7">$F$3</f>
        <v>1</v>
      </c>
      <c r="G29" s="562" t="e">
        <f t="shared" si="2"/>
        <v>#DIV/0!</v>
      </c>
      <c r="H29" s="392" t="s">
        <v>59</v>
      </c>
      <c r="I29" s="986"/>
      <c r="J29" s="572"/>
      <c r="K29" s="144"/>
      <c r="L29" s="145"/>
      <c r="M29" s="574"/>
      <c r="N29" s="560" t="e">
        <f>INDEX(机械件数据库!$E$31:$DQ$48,1,HLOOKUP(设计主界面!$B$11,机械件数据库!$E$5:$DQ$49,45,FALSE)+1)/1000</f>
        <v>#N/A</v>
      </c>
      <c r="O29" s="563" t="e">
        <f t="shared" ref="O29:O36" si="8">N29*M29</f>
        <v>#N/A</v>
      </c>
      <c r="P29" s="564" t="e">
        <f t="shared" ref="P29:P39" si="9">O29/$O$47</f>
        <v>#N/A</v>
      </c>
      <c r="Q29" s="385" t="e">
        <f t="shared" ref="Q29:Q39" si="10">N29/$N$47</f>
        <v>#N/A</v>
      </c>
      <c r="S29" s="382"/>
      <c r="T29" s="89"/>
    </row>
    <row r="30" spans="2:20" s="316" customFormat="1" ht="12.75">
      <c r="B30" s="1232"/>
      <c r="C30" s="559" t="str">
        <f>机械件数据库!C32</f>
        <v>壳体</v>
      </c>
      <c r="D30" s="557" t="e">
        <f>HLOOKUP(设计主界面!$B$11,机械件数据库!$E$5:'机械件数据库'!$DQ$48,28,FALSE)</f>
        <v>#N/A</v>
      </c>
      <c r="E30" s="391"/>
      <c r="F30" s="562">
        <f t="shared" si="7"/>
        <v>1</v>
      </c>
      <c r="G30" s="562" t="e">
        <f t="shared" si="2"/>
        <v>#DIV/0!</v>
      </c>
      <c r="H30" s="392" t="s">
        <v>59</v>
      </c>
      <c r="I30" s="989">
        <f>I29</f>
        <v>0</v>
      </c>
      <c r="J30" s="572"/>
      <c r="K30" s="144"/>
      <c r="L30" s="145"/>
      <c r="M30" s="574"/>
      <c r="N30" s="560" t="e">
        <f>INDEX(机械件数据库!$E$31:$DQ$48,2,HLOOKUP(设计主界面!$B$11,机械件数据库!$E$5:$DQ$49,45,FALSE)+1)/1000</f>
        <v>#N/A</v>
      </c>
      <c r="O30" s="563" t="e">
        <f t="shared" si="8"/>
        <v>#N/A</v>
      </c>
      <c r="P30" s="564" t="e">
        <f t="shared" si="9"/>
        <v>#N/A</v>
      </c>
      <c r="Q30" s="385" t="e">
        <f t="shared" si="10"/>
        <v>#N/A</v>
      </c>
      <c r="S30" s="382"/>
      <c r="T30" s="89"/>
    </row>
    <row r="31" spans="2:20" s="316" customFormat="1" ht="12.75">
      <c r="B31" s="1232"/>
      <c r="C31" s="559" t="str">
        <f>机械件数据库!C33</f>
        <v>Mylar</v>
      </c>
      <c r="D31" s="557" t="e">
        <f>HLOOKUP(设计主界面!$B$11,机械件数据库!$E$5:'机械件数据库'!$DQ$48,29,FALSE)</f>
        <v>#N/A</v>
      </c>
      <c r="E31" s="393"/>
      <c r="F31" s="562">
        <f t="shared" si="7"/>
        <v>1</v>
      </c>
      <c r="G31" s="562" t="e">
        <f t="shared" si="2"/>
        <v>#DIV/0!</v>
      </c>
      <c r="H31" s="394" t="s">
        <v>59</v>
      </c>
      <c r="I31" s="989">
        <f>I29</f>
        <v>0</v>
      </c>
      <c r="J31" s="572"/>
      <c r="K31" s="395"/>
      <c r="L31" s="319"/>
      <c r="M31" s="574"/>
      <c r="N31" s="560" t="e">
        <f>INDEX(机械件数据库!$E$31:$DQ$48,3,HLOOKUP(设计主界面!$B$11,机械件数据库!$E$5:$DQ$49,45,FALSE)+1)/1000</f>
        <v>#N/A</v>
      </c>
      <c r="O31" s="563" t="e">
        <f t="shared" si="8"/>
        <v>#N/A</v>
      </c>
      <c r="P31" s="564" t="e">
        <f t="shared" si="9"/>
        <v>#N/A</v>
      </c>
      <c r="Q31" s="385" t="e">
        <f t="shared" si="10"/>
        <v>#N/A</v>
      </c>
      <c r="S31" s="382"/>
      <c r="T31" s="89"/>
    </row>
    <row r="32" spans="2:20" s="316" customFormat="1" ht="12.75">
      <c r="B32" s="1232"/>
      <c r="C32" s="559" t="str">
        <f>机械件数据库!C34</f>
        <v>底托板</v>
      </c>
      <c r="D32" s="557" t="e">
        <f>HLOOKUP(设计主界面!$B$11,机械件数据库!$E$5:'机械件数据库'!$DQ$48,30,FALSE)</f>
        <v>#N/A</v>
      </c>
      <c r="E32" s="393"/>
      <c r="F32" s="562">
        <f t="shared" si="7"/>
        <v>1</v>
      </c>
      <c r="G32" s="562" t="e">
        <f t="shared" si="2"/>
        <v>#DIV/0!</v>
      </c>
      <c r="H32" s="394" t="s">
        <v>59</v>
      </c>
      <c r="I32" s="989">
        <f>I29</f>
        <v>0</v>
      </c>
      <c r="J32" s="572"/>
      <c r="K32" s="144"/>
      <c r="L32" s="319"/>
      <c r="M32" s="574"/>
      <c r="N32" s="560" t="e">
        <f>INDEX(机械件数据库!$E$31:$DQ$48,4,HLOOKUP(设计主界面!$B$11,机械件数据库!$E$5:$DQ$49,45,FALSE)+1)/1000</f>
        <v>#N/A</v>
      </c>
      <c r="O32" s="563" t="e">
        <f t="shared" si="8"/>
        <v>#N/A</v>
      </c>
      <c r="P32" s="564" t="e">
        <f t="shared" si="9"/>
        <v>#N/A</v>
      </c>
      <c r="Q32" s="385" t="e">
        <f t="shared" si="10"/>
        <v>#N/A</v>
      </c>
      <c r="S32" s="382"/>
      <c r="T32" s="89"/>
    </row>
    <row r="33" spans="2:21" s="316" customFormat="1" ht="12.75">
      <c r="B33" s="1232"/>
      <c r="C33" s="559" t="str">
        <f>机械件数据库!C35</f>
        <v>顶盖贴片</v>
      </c>
      <c r="D33" s="557" t="e">
        <f>HLOOKUP(设计主界面!$B$11,机械件数据库!$E$5:'机械件数据库'!$DQ$48,31,FALSE)</f>
        <v>#N/A</v>
      </c>
      <c r="E33" s="393"/>
      <c r="F33" s="562">
        <f t="shared" si="7"/>
        <v>1</v>
      </c>
      <c r="G33" s="562" t="e">
        <f t="shared" si="2"/>
        <v>#DIV/0!</v>
      </c>
      <c r="H33" s="394" t="s">
        <v>59</v>
      </c>
      <c r="I33" s="989">
        <f>I29</f>
        <v>0</v>
      </c>
      <c r="J33" s="572"/>
      <c r="K33" s="144"/>
      <c r="L33" s="319"/>
      <c r="M33" s="575"/>
      <c r="N33" s="560" t="e">
        <f>INDEX(机械件数据库!$E$31:$DQ$48,5,HLOOKUP(设计主界面!$B$11,机械件数据库!$E$5:$DQ$49,45,FALSE)+1)/1000</f>
        <v>#N/A</v>
      </c>
      <c r="O33" s="563" t="e">
        <f t="shared" si="8"/>
        <v>#N/A</v>
      </c>
      <c r="P33" s="564" t="e">
        <f t="shared" si="9"/>
        <v>#N/A</v>
      </c>
      <c r="Q33" s="385" t="e">
        <f t="shared" si="10"/>
        <v>#N/A</v>
      </c>
      <c r="S33" s="382"/>
      <c r="T33" s="89"/>
    </row>
    <row r="34" spans="2:21" s="316" customFormat="1" ht="12.75">
      <c r="B34" s="1232"/>
      <c r="C34" s="559" t="str">
        <f>机械件数据库!C36</f>
        <v>底部贴片</v>
      </c>
      <c r="D34" s="557" t="e">
        <f>HLOOKUP(设计主界面!$B$11,机械件数据库!$E$5:'机械件数据库'!$DQ$48,32,FALSE)</f>
        <v>#N/A</v>
      </c>
      <c r="E34" s="393"/>
      <c r="F34" s="562">
        <f t="shared" si="7"/>
        <v>1</v>
      </c>
      <c r="G34" s="562" t="e">
        <f t="shared" si="2"/>
        <v>#DIV/0!</v>
      </c>
      <c r="H34" s="394" t="s">
        <v>59</v>
      </c>
      <c r="I34" s="989">
        <f>I29</f>
        <v>0</v>
      </c>
      <c r="J34" s="572"/>
      <c r="K34" s="144"/>
      <c r="L34" s="319"/>
      <c r="M34" s="575"/>
      <c r="N34" s="560" t="e">
        <f>INDEX(机械件数据库!$E$31:$DQ$48,6,HLOOKUP(设计主界面!$B$11,机械件数据库!$E$5:$DQ$49,45,FALSE)+1)/1000</f>
        <v>#N/A</v>
      </c>
      <c r="O34" s="563" t="e">
        <f t="shared" si="8"/>
        <v>#N/A</v>
      </c>
      <c r="P34" s="564" t="e">
        <f t="shared" si="9"/>
        <v>#N/A</v>
      </c>
      <c r="Q34" s="385" t="e">
        <f t="shared" si="10"/>
        <v>#N/A</v>
      </c>
      <c r="S34" s="382"/>
      <c r="T34" s="89"/>
    </row>
    <row r="35" spans="2:21" s="316" customFormat="1" ht="12.75">
      <c r="B35" s="1232"/>
      <c r="C35" s="559" t="str">
        <f>机械件数据库!C37</f>
        <v>顶支架A</v>
      </c>
      <c r="D35" s="557" t="e">
        <f>HLOOKUP(设计主界面!$B$11,机械件数据库!$E$5:'机械件数据库'!$DQ$48,33,FALSE)</f>
        <v>#N/A</v>
      </c>
      <c r="E35" s="393"/>
      <c r="F35" s="562">
        <f>$F$3</f>
        <v>1</v>
      </c>
      <c r="G35" s="562" t="e">
        <f t="shared" si="2"/>
        <v>#DIV/0!</v>
      </c>
      <c r="H35" s="394" t="s">
        <v>59</v>
      </c>
      <c r="I35" s="989">
        <f>I29</f>
        <v>0</v>
      </c>
      <c r="J35" s="572"/>
      <c r="K35" s="144"/>
      <c r="L35" s="319"/>
      <c r="M35" s="575"/>
      <c r="N35" s="560" t="e">
        <f>INDEX(机械件数据库!$E$31:$DQ$48,7,HLOOKUP(设计主界面!$B$11,机械件数据库!$E$5:$DQ$49,45,FALSE)+1)/1000</f>
        <v>#N/A</v>
      </c>
      <c r="O35" s="563" t="e">
        <f t="shared" si="8"/>
        <v>#N/A</v>
      </c>
      <c r="P35" s="564" t="e">
        <f t="shared" si="9"/>
        <v>#N/A</v>
      </c>
      <c r="Q35" s="385" t="e">
        <f t="shared" si="10"/>
        <v>#N/A</v>
      </c>
      <c r="S35" s="89"/>
      <c r="T35" s="89"/>
    </row>
    <row r="36" spans="2:21" s="316" customFormat="1" ht="12.75">
      <c r="B36" s="1232"/>
      <c r="C36" s="559" t="str">
        <f>机械件数据库!C38</f>
        <v>顶支架B</v>
      </c>
      <c r="D36" s="557" t="e">
        <f>HLOOKUP(设计主界面!$B$11,机械件数据库!$E$5:'机械件数据库'!$DQ$48,34,FALSE)</f>
        <v>#N/A</v>
      </c>
      <c r="E36" s="459"/>
      <c r="F36" s="562">
        <f>$F$3</f>
        <v>1</v>
      </c>
      <c r="G36" s="562" t="e">
        <f t="shared" si="2"/>
        <v>#DIV/0!</v>
      </c>
      <c r="H36" s="394" t="s">
        <v>59</v>
      </c>
      <c r="I36" s="989">
        <f>I29</f>
        <v>0</v>
      </c>
      <c r="J36" s="573"/>
      <c r="K36" s="459"/>
      <c r="L36" s="319"/>
      <c r="M36" s="575"/>
      <c r="N36" s="560" t="e">
        <f>INDEX(机械件数据库!$E$31:$DQ$48,8,HLOOKUP(设计主界面!$B$11,机械件数据库!$E$5:$DQ$49,45,FALSE)+1)/1000</f>
        <v>#N/A</v>
      </c>
      <c r="O36" s="563" t="e">
        <f t="shared" si="8"/>
        <v>#N/A</v>
      </c>
      <c r="P36" s="564" t="e">
        <f t="shared" si="9"/>
        <v>#N/A</v>
      </c>
      <c r="Q36" s="385" t="e">
        <f t="shared" si="10"/>
        <v>#N/A</v>
      </c>
      <c r="S36" s="396"/>
      <c r="T36" s="89"/>
    </row>
    <row r="37" spans="2:21" s="316" customFormat="1" ht="12.75">
      <c r="B37" s="1232"/>
      <c r="C37" s="559" t="str">
        <f>机械件数据库!C39</f>
        <v>Al软连接</v>
      </c>
      <c r="D37" s="557" t="e">
        <f>HLOOKUP(设计主界面!$B$11,机械件数据库!$E$5:'机械件数据库'!$DQ$48,35,FALSE)</f>
        <v>#N/A</v>
      </c>
      <c r="E37" s="393"/>
      <c r="F37" s="562">
        <f>$F$3</f>
        <v>1</v>
      </c>
      <c r="G37" s="562" t="e">
        <f>F37/I37</f>
        <v>#DIV/0!</v>
      </c>
      <c r="H37" s="394" t="s">
        <v>59</v>
      </c>
      <c r="I37" s="989">
        <f>I29</f>
        <v>0</v>
      </c>
      <c r="J37" s="572"/>
      <c r="K37" s="144"/>
      <c r="L37" s="319"/>
      <c r="M37" s="575"/>
      <c r="N37" s="560" t="e">
        <f>INDEX(机械件数据库!$E$31:$DQ$48,9,HLOOKUP(设计主界面!$B$11,机械件数据库!$E$5:$DQ$49,45,FALSE)+1)/1000</f>
        <v>#N/A</v>
      </c>
      <c r="O37" s="563" t="e">
        <f>N37*M36</f>
        <v>#N/A</v>
      </c>
      <c r="P37" s="564" t="e">
        <f t="shared" si="9"/>
        <v>#N/A</v>
      </c>
      <c r="Q37" s="385" t="e">
        <f t="shared" si="10"/>
        <v>#N/A</v>
      </c>
      <c r="S37" s="79"/>
      <c r="T37" s="79"/>
    </row>
    <row r="38" spans="2:21" s="316" customFormat="1" ht="12.75">
      <c r="B38" s="1232"/>
      <c r="C38" s="559" t="str">
        <f>机械件数据库!C40</f>
        <v>Cu软连接</v>
      </c>
      <c r="D38" s="557" t="e">
        <f>HLOOKUP(设计主界面!$B$11,机械件数据库!$E$5:'机械件数据库'!$DQ$48,36,FALSE)</f>
        <v>#N/A</v>
      </c>
      <c r="E38" s="393"/>
      <c r="F38" s="562">
        <f>$F$3</f>
        <v>1</v>
      </c>
      <c r="G38" s="562" t="e">
        <f>F38/I38</f>
        <v>#DIV/0!</v>
      </c>
      <c r="H38" s="394" t="s">
        <v>59</v>
      </c>
      <c r="I38" s="989">
        <f>I29</f>
        <v>0</v>
      </c>
      <c r="J38" s="572"/>
      <c r="K38" s="144"/>
      <c r="L38" s="319"/>
      <c r="M38" s="575"/>
      <c r="N38" s="560" t="e">
        <f>INDEX(机械件数据库!$E$31:$DQ$48,10,HLOOKUP(设计主界面!$B$11,机械件数据库!$E$5:$DQ$49,45,FALSE)+1)/1000</f>
        <v>#N/A</v>
      </c>
      <c r="O38" s="563" t="e">
        <f>N38*M37</f>
        <v>#N/A</v>
      </c>
      <c r="P38" s="564" t="e">
        <f t="shared" si="9"/>
        <v>#N/A</v>
      </c>
      <c r="Q38" s="385" t="e">
        <f t="shared" si="10"/>
        <v>#N/A</v>
      </c>
      <c r="S38" s="79"/>
      <c r="T38" s="79"/>
    </row>
    <row r="39" spans="2:21" s="316" customFormat="1" ht="13.5" customHeight="1">
      <c r="B39" s="1232"/>
      <c r="C39" s="559" t="str">
        <f>机械件数据库!C41</f>
        <v>蓝膜</v>
      </c>
      <c r="D39" s="557" t="e">
        <f>HLOOKUP(设计主界面!$B$11,机械件数据库!$E$5:'机械件数据库'!$DQ$48,37,FALSE)</f>
        <v>#N/A</v>
      </c>
      <c r="E39" s="393"/>
      <c r="F39" s="560" t="e">
        <f>$F$3*INDEX(机械件数据库!$E$31:$DQ$48,11,HLOOKUP(设计主界面!$B$11,机械件数据库!$E$5:$DQ$49,45,FALSE)+2)/HLOOKUP(设计主界面!$B$11,机械件数据库!$B$5:$DQ$48,13,FALSE)/1000000</f>
        <v>#N/A</v>
      </c>
      <c r="G39" s="562" t="e">
        <f>F39/I39</f>
        <v>#N/A</v>
      </c>
      <c r="H39" s="397" t="s">
        <v>484</v>
      </c>
      <c r="I39" s="989">
        <f>I29</f>
        <v>0</v>
      </c>
      <c r="J39" s="572"/>
      <c r="K39" s="144"/>
      <c r="L39" s="319"/>
      <c r="M39" s="575"/>
      <c r="N39" s="560" t="e">
        <f>INDEX(机械件数据库!$E$31:$DQ$48,11,HLOOKUP(设计主界面!$B$11,机械件数据库!$E$5:$DQ$49,45,FALSE)+1)/1000</f>
        <v>#N/A</v>
      </c>
      <c r="O39" s="563" t="e">
        <f>M38*INDEX(机械件数据库!$E$31:$DQ$48,11,HLOOKUP(设计主界面!$B$11,机械件数据库!$E$5:$DQ$49,45,FALSE)+2)/HLOOKUP(设计主界面!$B$11,机械件数据库!$B$5:$DQ$48,13,FALSE)/1000000</f>
        <v>#N/A</v>
      </c>
      <c r="P39" s="564" t="e">
        <f t="shared" si="9"/>
        <v>#N/A</v>
      </c>
      <c r="Q39" s="385" t="e">
        <f t="shared" si="10"/>
        <v>#N/A</v>
      </c>
      <c r="S39" s="79"/>
      <c r="T39" s="79"/>
    </row>
    <row r="40" spans="2:21" s="316" customFormat="1" ht="13.5" customHeight="1">
      <c r="B40" s="1232"/>
      <c r="C40" s="559" t="str">
        <f>机械件数据库!C42</f>
        <v>密封铝钉</v>
      </c>
      <c r="D40" s="557" t="e">
        <f>HLOOKUP(设计主界面!$B$11,机械件数据库!$E$5:'机械件数据库'!$DQ$48,38,FALSE)</f>
        <v>#N/A</v>
      </c>
      <c r="E40" s="393"/>
      <c r="F40" s="562">
        <f>$F$3</f>
        <v>1</v>
      </c>
      <c r="G40" s="562" t="e">
        <f t="shared" ref="G40:G44" si="11">F40/I40</f>
        <v>#DIV/0!</v>
      </c>
      <c r="H40" s="394" t="s">
        <v>59</v>
      </c>
      <c r="I40" s="989">
        <f>I29</f>
        <v>0</v>
      </c>
      <c r="J40" s="572"/>
      <c r="K40" s="144"/>
      <c r="L40" s="319"/>
      <c r="M40" s="575"/>
      <c r="N40" s="560" t="e">
        <f>INDEX(机械件数据库!$E$31:$DQ$48,12,HLOOKUP(设计主界面!$B$11,机械件数据库!$E$5:$DQ$49,45,FALSE)+1)/1000</f>
        <v>#N/A</v>
      </c>
      <c r="O40" s="563" t="e">
        <f t="shared" ref="O40:O44" si="12">N40*M39</f>
        <v>#N/A</v>
      </c>
      <c r="P40" s="564" t="e">
        <f t="shared" ref="P40:P44" si="13">O40/$O$47</f>
        <v>#N/A</v>
      </c>
      <c r="Q40" s="385" t="e">
        <f t="shared" ref="Q40:Q44" si="14">N40/$N$47</f>
        <v>#N/A</v>
      </c>
      <c r="S40" s="79"/>
      <c r="T40" s="79"/>
    </row>
    <row r="41" spans="2:21" s="316" customFormat="1" ht="13.5" customHeight="1">
      <c r="B41" s="1232"/>
      <c r="C41" s="559" t="str">
        <f>机械件数据库!C43</f>
        <v>塑胶钉</v>
      </c>
      <c r="D41" s="557" t="e">
        <f>HLOOKUP(设计主界面!$B$11,机械件数据库!$E$5:'机械件数据库'!$DQ$48,39,FALSE)</f>
        <v>#N/A</v>
      </c>
      <c r="E41" s="393"/>
      <c r="F41" s="562">
        <f t="shared" ref="F41" si="15">$F$3</f>
        <v>1</v>
      </c>
      <c r="G41" s="562" t="e">
        <f t="shared" si="11"/>
        <v>#DIV/0!</v>
      </c>
      <c r="H41" s="394" t="s">
        <v>59</v>
      </c>
      <c r="I41" s="989">
        <f>I29</f>
        <v>0</v>
      </c>
      <c r="J41" s="572"/>
      <c r="K41" s="144"/>
      <c r="L41" s="319"/>
      <c r="M41" s="575"/>
      <c r="N41" s="560" t="e">
        <f>INDEX(机械件数据库!$E$31:$DQ$48,13,HLOOKUP(设计主界面!$B$11,机械件数据库!$E$5:$DQ$49,45,FALSE)+1)/1000</f>
        <v>#N/A</v>
      </c>
      <c r="O41" s="563" t="e">
        <f t="shared" si="12"/>
        <v>#N/A</v>
      </c>
      <c r="P41" s="564" t="e">
        <f t="shared" si="13"/>
        <v>#N/A</v>
      </c>
      <c r="Q41" s="385" t="e">
        <f t="shared" si="14"/>
        <v>#N/A</v>
      </c>
      <c r="S41" s="79"/>
      <c r="T41" s="79"/>
    </row>
    <row r="42" spans="2:21" s="316" customFormat="1" ht="13.5" customHeight="1">
      <c r="B42" s="1232"/>
      <c r="C42" s="559" t="str">
        <f>机械件数据库!C44</f>
        <v>PET贴片(表面)</v>
      </c>
      <c r="D42" s="557" t="e">
        <f>HLOOKUP(设计主界面!$B$11,机械件数据库!$E$5:'机械件数据库'!$DQ$48,40,FALSE)</f>
        <v>#N/A</v>
      </c>
      <c r="E42" s="393"/>
      <c r="F42" s="562">
        <f>$F$3</f>
        <v>1</v>
      </c>
      <c r="G42" s="562" t="e">
        <f t="shared" si="11"/>
        <v>#DIV/0!</v>
      </c>
      <c r="H42" s="394" t="s">
        <v>59</v>
      </c>
      <c r="I42" s="989">
        <f>I29</f>
        <v>0</v>
      </c>
      <c r="J42" s="572"/>
      <c r="K42" s="144"/>
      <c r="L42" s="319"/>
      <c r="M42" s="575"/>
      <c r="N42" s="560" t="e">
        <f>INDEX(机械件数据库!$E$31:$DQ$48,14,HLOOKUP(设计主界面!$B$11,机械件数据库!$E$5:$DQ$49,45,FALSE)+1)/1000</f>
        <v>#N/A</v>
      </c>
      <c r="O42" s="563" t="e">
        <f t="shared" si="12"/>
        <v>#N/A</v>
      </c>
      <c r="P42" s="564" t="e">
        <f t="shared" si="13"/>
        <v>#N/A</v>
      </c>
      <c r="Q42" s="385" t="e">
        <f t="shared" si="14"/>
        <v>#N/A</v>
      </c>
      <c r="S42" s="79"/>
      <c r="T42" s="79"/>
    </row>
    <row r="43" spans="2:21" s="316" customFormat="1" ht="13.5" customHeight="1">
      <c r="B43" s="1232"/>
      <c r="C43" s="559" t="str">
        <f>机械件数据库!C45</f>
        <v>AL焊接压片</v>
      </c>
      <c r="D43" s="557" t="e">
        <f>HLOOKUP(设计主界面!$B$11,机械件数据库!$E$5:'机械件数据库'!$DQ$48,41,FALSE)</f>
        <v>#N/A</v>
      </c>
      <c r="E43" s="393"/>
      <c r="F43" s="761">
        <v>0</v>
      </c>
      <c r="G43" s="562" t="e">
        <f t="shared" si="11"/>
        <v>#DIV/0!</v>
      </c>
      <c r="H43" s="394" t="s">
        <v>59</v>
      </c>
      <c r="I43" s="989">
        <f>I29</f>
        <v>0</v>
      </c>
      <c r="J43" s="572"/>
      <c r="K43" s="144"/>
      <c r="L43" s="319"/>
      <c r="M43" s="575"/>
      <c r="N43" s="560" t="e">
        <f>INDEX(机械件数据库!$E$31:$DQ$48,15,HLOOKUP(设计主界面!$B$11,机械件数据库!$E$5:$DQ$49,45,FALSE)+1)/1000</f>
        <v>#N/A</v>
      </c>
      <c r="O43" s="563" t="e">
        <f t="shared" si="12"/>
        <v>#N/A</v>
      </c>
      <c r="P43" s="564" t="e">
        <f t="shared" si="13"/>
        <v>#N/A</v>
      </c>
      <c r="Q43" s="385" t="e">
        <f t="shared" si="14"/>
        <v>#N/A</v>
      </c>
      <c r="S43" s="79"/>
      <c r="T43" s="79"/>
    </row>
    <row r="44" spans="2:21" s="316" customFormat="1" ht="13.5" customHeight="1">
      <c r="B44" s="1232"/>
      <c r="C44" s="559" t="str">
        <f>机械件数据库!C46</f>
        <v>Cu焊接压片</v>
      </c>
      <c r="D44" s="557" t="e">
        <f>HLOOKUP(设计主界面!$B$11,机械件数据库!$E$5:'机械件数据库'!$DQ$48,42,FALSE)</f>
        <v>#N/A</v>
      </c>
      <c r="E44" s="393"/>
      <c r="F44" s="761">
        <v>0</v>
      </c>
      <c r="G44" s="562" t="e">
        <f t="shared" si="11"/>
        <v>#DIV/0!</v>
      </c>
      <c r="H44" s="394" t="s">
        <v>59</v>
      </c>
      <c r="I44" s="989">
        <f>I29</f>
        <v>0</v>
      </c>
      <c r="J44" s="572"/>
      <c r="K44" s="144"/>
      <c r="L44" s="319"/>
      <c r="M44" s="575"/>
      <c r="N44" s="560" t="e">
        <f>INDEX(机械件数据库!$E$31:$DQ$48,16,HLOOKUP(设计主界面!$B$11,机械件数据库!$E$5:$DQ$49,45,FALSE)+1)/1000</f>
        <v>#N/A</v>
      </c>
      <c r="O44" s="563" t="e">
        <f t="shared" si="12"/>
        <v>#N/A</v>
      </c>
      <c r="P44" s="564" t="e">
        <f t="shared" si="13"/>
        <v>#N/A</v>
      </c>
      <c r="Q44" s="385" t="e">
        <f t="shared" si="14"/>
        <v>#N/A</v>
      </c>
      <c r="S44" s="79"/>
      <c r="T44" s="79"/>
    </row>
    <row r="45" spans="2:21" s="316" customFormat="1" ht="12.75">
      <c r="B45" s="1232"/>
      <c r="C45" s="559"/>
      <c r="D45" s="742"/>
      <c r="E45" s="393"/>
      <c r="F45" s="560"/>
      <c r="G45" s="560"/>
      <c r="H45" s="394"/>
      <c r="I45" s="991"/>
      <c r="J45" s="743"/>
      <c r="K45" s="144"/>
      <c r="L45" s="319"/>
      <c r="M45" s="744"/>
      <c r="N45" s="560"/>
      <c r="O45" s="563"/>
      <c r="P45" s="564"/>
      <c r="Q45" s="385"/>
      <c r="S45" s="79"/>
      <c r="T45" s="79"/>
    </row>
    <row r="46" spans="2:21" s="316" customFormat="1" ht="12.75">
      <c r="B46" s="1233"/>
      <c r="C46" s="398"/>
      <c r="D46" s="398"/>
      <c r="E46" s="391"/>
      <c r="F46" s="383"/>
      <c r="G46" s="383"/>
      <c r="H46" s="392"/>
      <c r="I46" s="992"/>
      <c r="J46" s="383"/>
      <c r="K46" s="144"/>
      <c r="L46" s="319"/>
      <c r="M46" s="744"/>
      <c r="N46" s="560"/>
      <c r="O46" s="563"/>
      <c r="P46" s="564"/>
      <c r="Q46" s="385"/>
      <c r="S46" s="382"/>
      <c r="T46" s="89"/>
    </row>
    <row r="47" spans="2:21" s="316" customFormat="1" ht="12.75">
      <c r="B47" s="399"/>
      <c r="C47" s="79"/>
      <c r="D47" s="79"/>
      <c r="E47" s="79"/>
      <c r="F47" s="462"/>
      <c r="H47" s="330"/>
      <c r="J47" s="330"/>
      <c r="K47" s="330"/>
      <c r="L47" s="90"/>
      <c r="M47" s="400" t="s">
        <v>486</v>
      </c>
      <c r="N47" s="401" t="e">
        <f>SUM(N6:N46)</f>
        <v>#N/A</v>
      </c>
      <c r="O47" s="401" t="e">
        <f>SUM(O6:O46)</f>
        <v>#N/A</v>
      </c>
      <c r="P47" s="330"/>
      <c r="Q47" s="79"/>
      <c r="R47" s="147"/>
      <c r="S47" s="79"/>
      <c r="T47" s="79"/>
      <c r="U47" s="79"/>
    </row>
    <row r="48" spans="2:21" s="316" customFormat="1" ht="12.75">
      <c r="B48" s="399"/>
      <c r="C48" s="79"/>
      <c r="D48" s="79"/>
      <c r="E48" s="79"/>
      <c r="F48" s="79"/>
      <c r="G48" s="330"/>
      <c r="H48" s="330"/>
      <c r="I48" s="402"/>
      <c r="J48" s="330"/>
      <c r="K48" s="330"/>
      <c r="L48" s="90"/>
      <c r="M48" s="400" t="s">
        <v>487</v>
      </c>
      <c r="N48" s="401"/>
      <c r="O48" s="401" t="e">
        <f>O47/设计主界面!C3/设计主界面!B15</f>
        <v>#N/A</v>
      </c>
      <c r="P48" s="330"/>
      <c r="Q48" s="79"/>
      <c r="R48" s="147"/>
      <c r="S48" s="79"/>
      <c r="T48" s="79"/>
      <c r="U48" s="79"/>
    </row>
    <row r="49" spans="2:2">
      <c r="B49" s="168" t="s">
        <v>488</v>
      </c>
    </row>
    <row r="51" spans="2:2" s="403" customFormat="1" ht="12.75"/>
  </sheetData>
  <sheetProtection password="CCE3" sheet="1" objects="1" scenarios="1" formatCells="0" formatColumns="0" formatRows="0" insertColumns="0" insertRows="0" insertHyperlinks="0" deleteColumns="0" deleteRows="0" sort="0" autoFilter="0" pivotTables="0"/>
  <mergeCells count="4">
    <mergeCell ref="B16:B24"/>
    <mergeCell ref="B29:B46"/>
    <mergeCell ref="B26:B28"/>
    <mergeCell ref="B6:B15"/>
  </mergeCells>
  <phoneticPr fontId="5" type="noConversion"/>
  <dataValidations count="1">
    <dataValidation type="list" allowBlank="1" showInputMessage="1" showErrorMessage="1" sqref="F43:F44">
      <formula1>"0,=$F$3,=$F$3*2"</formula1>
    </dataValidation>
  </dataValidations>
  <hyperlinks>
    <hyperlink ref="F2" location="设计主界面!A1" display="返回"/>
  </hyperlinks>
  <pageMargins left="0.75" right="0.75" top="1" bottom="1" header="0.5" footer="0.5"/>
  <pageSetup paperSize="9" orientation="portrait" r:id="rId1"/>
  <headerFooter alignWithMargins="0"/>
  <legacyDrawing r:id="rId2"/>
  <extLst>
    <ext xmlns:x14="http://schemas.microsoft.com/office/spreadsheetml/2009/9/main" uri="{CCE6A557-97BC-4b89-ADB6-D9C93CAAB3DF}">
      <x14:dataValidations xmlns:xm="http://schemas.microsoft.com/office/excel/2006/main" count="6">
        <x14:dataValidation type="list" allowBlank="1" showInputMessage="1" showErrorMessage="1">
          <x14:formula1>
            <xm:f>材料数据库!$D$94:$D$99</xm:f>
          </x14:formula1>
          <xm:sqref>D23</xm:sqref>
        </x14:dataValidation>
        <x14:dataValidation type="list" allowBlank="1" showInputMessage="1" showErrorMessage="1">
          <x14:formula1>
            <xm:f>材料数据库!$D$100:$D$107</xm:f>
          </x14:formula1>
          <xm:sqref>D12</xm:sqref>
        </x14:dataValidation>
        <x14:dataValidation type="list" allowBlank="1" showInputMessage="1" showErrorMessage="1">
          <x14:formula1>
            <xm:f>材料数据库!$D$114:$D$118</xm:f>
          </x14:formula1>
          <xm:sqref>D7</xm:sqref>
        </x14:dataValidation>
        <x14:dataValidation type="list" allowBlank="1" showInputMessage="1" showErrorMessage="1">
          <x14:formula1>
            <xm:f>材料数据库!$D$140:$D$144</xm:f>
          </x14:formula1>
          <xm:sqref>D9:D10 D20:D21</xm:sqref>
        </x14:dataValidation>
        <x14:dataValidation type="list" allowBlank="1" showInputMessage="1" showErrorMessage="1">
          <x14:formula1>
            <xm:f>材料数据库!$D$153:$D$155</xm:f>
          </x14:formula1>
          <xm:sqref>D17</xm:sqref>
        </x14:dataValidation>
        <x14:dataValidation type="list" allowBlank="1" showInputMessage="1" showErrorMessage="1">
          <x14:formula1>
            <xm:f>材料数据库!$D$127:$D$131</xm:f>
          </x14:formula1>
          <xm:sqref>D18:D19</xm:sqref>
        </x14:dataValidation>
      </x14:dataValidation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工作表</vt:lpstr>
      </vt:variant>
      <vt:variant>
        <vt:i4>13</vt:i4>
      </vt:variant>
      <vt:variant>
        <vt:lpstr>命名范围</vt:lpstr>
      </vt:variant>
      <vt:variant>
        <vt:i4>1</vt:i4>
      </vt:variant>
    </vt:vector>
  </HeadingPairs>
  <TitlesOfParts>
    <vt:vector size="14" baseType="lpstr">
      <vt:lpstr>参数说明</vt:lpstr>
      <vt:lpstr>版本控制</vt:lpstr>
      <vt:lpstr>Summary</vt:lpstr>
      <vt:lpstr>机械件数据库</vt:lpstr>
      <vt:lpstr>设计主界面</vt:lpstr>
      <vt:lpstr>材料数据库</vt:lpstr>
      <vt:lpstr>模切尺寸</vt:lpstr>
      <vt:lpstr>Overhang</vt:lpstr>
      <vt:lpstr>BOM</vt:lpstr>
      <vt:lpstr>残空间计算</vt:lpstr>
      <vt:lpstr>极耳错位</vt:lpstr>
      <vt:lpstr>过程能力信息</vt:lpstr>
      <vt:lpstr>Cell Weight</vt:lpstr>
      <vt:lpstr>否</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Jiang ZhiYi</dc:creator>
  <cp:lastModifiedBy>You KaiXiang(PTC)</cp:lastModifiedBy>
  <dcterms:created xsi:type="dcterms:W3CDTF">2014-11-21T02:56:45Z</dcterms:created>
  <dcterms:modified xsi:type="dcterms:W3CDTF">2017-12-13T09:39:45Z</dcterms:modified>
</cp:coreProperties>
</file>